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/>
  <mc:AlternateContent xmlns:mc="http://schemas.openxmlformats.org/markup-compatibility/2006">
    <mc:Choice Requires="x15">
      <x15ac:absPath xmlns:x15ac="http://schemas.microsoft.com/office/spreadsheetml/2010/11/ac" url="/Users/Diego/Downloads/"/>
    </mc:Choice>
  </mc:AlternateContent>
  <xr:revisionPtr revIDLastSave="0" documentId="13_ncr:1_{465EFB60-14FB-454E-AB93-2CDD9E6EF727}" xr6:coauthVersionLast="47" xr6:coauthVersionMax="47" xr10:uidLastSave="{00000000-0000-0000-0000-000000000000}"/>
  <bookViews>
    <workbookView xWindow="0" yWindow="500" windowWidth="35840" windowHeight="20900" xr2:uid="{00000000-000D-0000-FFFF-FFFF00000000}"/>
  </bookViews>
  <sheets>
    <sheet name="Datos de muestra y medidos" sheetId="1" r:id="rId1"/>
    <sheet name="Datos medidos" sheetId="2" state="hidden" r:id="rId2"/>
    <sheet name="Permeabilidades" sheetId="3" state="hidden" r:id="rId3"/>
    <sheet name="Datos  kr" sheetId="4" r:id="rId4"/>
    <sheet name="Curva kr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9" roundtripDataSignature="AMtx7mhwV1ixaACpHtlotnM1tzJOpGA9EQ=="/>
    </ext>
  </extLst>
</workbook>
</file>

<file path=xl/calcChain.xml><?xml version="1.0" encoding="utf-8"?>
<calcChain xmlns="http://schemas.openxmlformats.org/spreadsheetml/2006/main">
  <c r="T12" i="5" l="1"/>
  <c r="B12" i="5"/>
  <c r="C28" i="4"/>
  <c r="T82" i="1" l="1"/>
  <c r="L39" i="1"/>
  <c r="F17" i="5"/>
  <c r="D17" i="5"/>
  <c r="F16" i="5"/>
  <c r="D16" i="5"/>
  <c r="F15" i="5"/>
  <c r="D15" i="5"/>
  <c r="F14" i="5"/>
  <c r="D14" i="5"/>
  <c r="F13" i="5"/>
  <c r="D13" i="5"/>
  <c r="B13" i="5"/>
  <c r="B14" i="5" s="1"/>
  <c r="B15" i="5" s="1"/>
  <c r="B16" i="5" s="1"/>
  <c r="B17" i="5" s="1"/>
  <c r="F12" i="5"/>
  <c r="D12" i="5"/>
  <c r="F11" i="5"/>
  <c r="G11" i="5" s="1"/>
  <c r="D11" i="5"/>
  <c r="I29" i="4"/>
  <c r="H29" i="4"/>
  <c r="G29" i="4"/>
  <c r="F29" i="4"/>
  <c r="E29" i="4"/>
  <c r="D29" i="4"/>
  <c r="C29" i="4"/>
  <c r="D4" i="5" s="1"/>
  <c r="I25" i="4"/>
  <c r="H25" i="4"/>
  <c r="G25" i="4"/>
  <c r="F25" i="4"/>
  <c r="E25" i="4"/>
  <c r="I24" i="4"/>
  <c r="H24" i="4"/>
  <c r="G24" i="4"/>
  <c r="F24" i="4"/>
  <c r="E24" i="4"/>
  <c r="I23" i="4"/>
  <c r="H23" i="4"/>
  <c r="G23" i="4"/>
  <c r="F23" i="4"/>
  <c r="E23" i="4"/>
  <c r="I22" i="4"/>
  <c r="H22" i="4"/>
  <c r="G22" i="4"/>
  <c r="F22" i="4"/>
  <c r="I21" i="4"/>
  <c r="H21" i="4"/>
  <c r="I20" i="4"/>
  <c r="I19" i="4"/>
  <c r="I18" i="4"/>
  <c r="I17" i="4"/>
  <c r="I16" i="4"/>
  <c r="I15" i="4"/>
  <c r="I14" i="4"/>
  <c r="I13" i="4"/>
  <c r="I12" i="4"/>
  <c r="I11" i="4"/>
  <c r="I10" i="4"/>
  <c r="C25" i="4"/>
  <c r="C24" i="4"/>
  <c r="D25" i="4"/>
  <c r="C23" i="4"/>
  <c r="D24" i="4"/>
  <c r="C22" i="4"/>
  <c r="E9" i="4"/>
  <c r="F9" i="4" s="1"/>
  <c r="G9" i="4" s="1"/>
  <c r="H9" i="4" s="1"/>
  <c r="I9" i="4" s="1"/>
  <c r="I81" i="3"/>
  <c r="F38" i="3"/>
  <c r="C38" i="3"/>
  <c r="C31" i="1"/>
  <c r="C17" i="1"/>
  <c r="S71" i="1" s="1"/>
  <c r="C13" i="1"/>
  <c r="P10" i="1" l="1"/>
  <c r="S14" i="1"/>
  <c r="K29" i="1"/>
  <c r="H70" i="3"/>
  <c r="C29" i="1"/>
  <c r="C28" i="1"/>
  <c r="S10" i="1"/>
  <c r="S76" i="1"/>
  <c r="S68" i="1"/>
  <c r="K32" i="1"/>
  <c r="S75" i="1"/>
  <c r="K20" i="1"/>
  <c r="S18" i="1"/>
  <c r="S15" i="1"/>
  <c r="S60" i="1"/>
  <c r="O32" i="1"/>
  <c r="S52" i="1"/>
  <c r="S9" i="1"/>
  <c r="S47" i="1"/>
  <c r="S31" i="1"/>
  <c r="S44" i="1"/>
  <c r="S30" i="1"/>
  <c r="S36" i="1"/>
  <c r="S23" i="1"/>
  <c r="S22" i="1"/>
  <c r="S26" i="1"/>
  <c r="T19" i="1"/>
  <c r="T72" i="1"/>
  <c r="T56" i="1"/>
  <c r="S67" i="1"/>
  <c r="S59" i="1"/>
  <c r="S51" i="1"/>
  <c r="S43" i="1"/>
  <c r="T9" i="1"/>
  <c r="T26" i="1"/>
  <c r="T18" i="1"/>
  <c r="T10" i="1"/>
  <c r="T71" i="1"/>
  <c r="T63" i="1"/>
  <c r="T55" i="1"/>
  <c r="T47" i="1"/>
  <c r="T39" i="1"/>
  <c r="T64" i="1"/>
  <c r="K28" i="1"/>
  <c r="O31" i="1"/>
  <c r="S29" i="1"/>
  <c r="S21" i="1"/>
  <c r="S13" i="1"/>
  <c r="S74" i="1"/>
  <c r="S66" i="1"/>
  <c r="S58" i="1"/>
  <c r="S50" i="1"/>
  <c r="S42" i="1"/>
  <c r="T33" i="1"/>
  <c r="T25" i="1"/>
  <c r="T17" i="1"/>
  <c r="T35" i="1"/>
  <c r="T70" i="1"/>
  <c r="T62" i="1"/>
  <c r="T54" i="1"/>
  <c r="T46" i="1"/>
  <c r="T38" i="1"/>
  <c r="T40" i="1"/>
  <c r="K24" i="1"/>
  <c r="O24" i="1"/>
  <c r="S28" i="1"/>
  <c r="S20" i="1"/>
  <c r="S12" i="1"/>
  <c r="S73" i="1"/>
  <c r="S65" i="1"/>
  <c r="S57" i="1"/>
  <c r="S49" i="1"/>
  <c r="S41" i="1"/>
  <c r="T32" i="1"/>
  <c r="T24" i="1"/>
  <c r="T16" i="1"/>
  <c r="T77" i="1"/>
  <c r="T69" i="1"/>
  <c r="T61" i="1"/>
  <c r="T53" i="1"/>
  <c r="T45" i="1"/>
  <c r="T37" i="1"/>
  <c r="K21" i="1"/>
  <c r="O16" i="1"/>
  <c r="S27" i="1"/>
  <c r="S19" i="1"/>
  <c r="S11" i="1"/>
  <c r="S72" i="1"/>
  <c r="S64" i="1"/>
  <c r="S56" i="1"/>
  <c r="S48" i="1"/>
  <c r="S40" i="1"/>
  <c r="T31" i="1"/>
  <c r="T23" i="1"/>
  <c r="T15" i="1"/>
  <c r="T76" i="1"/>
  <c r="T68" i="1"/>
  <c r="T60" i="1"/>
  <c r="T52" i="1"/>
  <c r="T44" i="1"/>
  <c r="T36" i="1"/>
  <c r="T27" i="1"/>
  <c r="T11" i="1"/>
  <c r="T48" i="1"/>
  <c r="S63" i="1"/>
  <c r="S55" i="1"/>
  <c r="S39" i="1"/>
  <c r="T30" i="1"/>
  <c r="T22" i="1"/>
  <c r="T14" i="1"/>
  <c r="T75" i="1"/>
  <c r="T67" i="1"/>
  <c r="T59" i="1"/>
  <c r="T51" i="1"/>
  <c r="T43" i="1"/>
  <c r="K13" i="1"/>
  <c r="S33" i="1"/>
  <c r="S25" i="1"/>
  <c r="S17" i="1"/>
  <c r="S35" i="1"/>
  <c r="S70" i="1"/>
  <c r="S62" i="1"/>
  <c r="S54" i="1"/>
  <c r="S46" i="1"/>
  <c r="S38" i="1"/>
  <c r="T29" i="1"/>
  <c r="T21" i="1"/>
  <c r="T13" i="1"/>
  <c r="T74" i="1"/>
  <c r="T66" i="1"/>
  <c r="T58" i="1"/>
  <c r="T50" i="1"/>
  <c r="T42" i="1"/>
  <c r="K12" i="1"/>
  <c r="S32" i="1"/>
  <c r="S24" i="1"/>
  <c r="S16" i="1"/>
  <c r="S77" i="1"/>
  <c r="S69" i="1"/>
  <c r="S61" i="1"/>
  <c r="S53" i="1"/>
  <c r="S45" i="1"/>
  <c r="S37" i="1"/>
  <c r="T28" i="1"/>
  <c r="T20" i="1"/>
  <c r="T12" i="1"/>
  <c r="T73" i="1"/>
  <c r="T65" i="1"/>
  <c r="T57" i="1"/>
  <c r="T49" i="1"/>
  <c r="T41" i="1"/>
  <c r="H11" i="5"/>
  <c r="I11" i="5" s="1"/>
  <c r="G12" i="5"/>
  <c r="G13" i="5" s="1"/>
  <c r="G14" i="5" s="1"/>
  <c r="G15" i="5" s="1"/>
  <c r="G16" i="5" s="1"/>
  <c r="G17" i="5" s="1"/>
  <c r="F26" i="4"/>
  <c r="C14" i="5" s="1"/>
  <c r="Q14" i="5" s="1"/>
  <c r="H14" i="5"/>
  <c r="N14" i="5" s="1"/>
  <c r="H13" i="5"/>
  <c r="N13" i="5" s="1"/>
  <c r="H17" i="5"/>
  <c r="N17" i="5" s="1"/>
  <c r="L14" i="1"/>
  <c r="L29" i="1"/>
  <c r="L21" i="1"/>
  <c r="O23" i="1"/>
  <c r="O15" i="1"/>
  <c r="P32" i="1"/>
  <c r="P24" i="1"/>
  <c r="P16" i="1"/>
  <c r="K19" i="1"/>
  <c r="L28" i="1"/>
  <c r="L20" i="1"/>
  <c r="L12" i="1"/>
  <c r="O22" i="1"/>
  <c r="O14" i="1"/>
  <c r="P31" i="1"/>
  <c r="P23" i="1"/>
  <c r="P15" i="1"/>
  <c r="K27" i="1"/>
  <c r="K9" i="1"/>
  <c r="K26" i="1"/>
  <c r="K18" i="1"/>
  <c r="K10" i="1"/>
  <c r="L27" i="1"/>
  <c r="L19" i="1"/>
  <c r="L11" i="1"/>
  <c r="O29" i="1"/>
  <c r="O21" i="1"/>
  <c r="O13" i="1"/>
  <c r="P30" i="1"/>
  <c r="P22" i="1"/>
  <c r="P14" i="1"/>
  <c r="L22" i="1"/>
  <c r="P25" i="1"/>
  <c r="L13" i="1"/>
  <c r="K11" i="1"/>
  <c r="O30" i="1"/>
  <c r="K33" i="1"/>
  <c r="K25" i="1"/>
  <c r="K17" i="1"/>
  <c r="L9" i="1"/>
  <c r="L26" i="1"/>
  <c r="L18" i="1"/>
  <c r="L10" i="1"/>
  <c r="O28" i="1"/>
  <c r="O20" i="1"/>
  <c r="O12" i="1"/>
  <c r="P29" i="1"/>
  <c r="P21" i="1"/>
  <c r="P13" i="1"/>
  <c r="L30" i="1"/>
  <c r="K16" i="1"/>
  <c r="L33" i="1"/>
  <c r="L25" i="1"/>
  <c r="L17" i="1"/>
  <c r="O27" i="1"/>
  <c r="O19" i="1"/>
  <c r="O11" i="1"/>
  <c r="P28" i="1"/>
  <c r="P20" i="1"/>
  <c r="P12" i="1"/>
  <c r="P33" i="1"/>
  <c r="K31" i="1"/>
  <c r="K23" i="1"/>
  <c r="K15" i="1"/>
  <c r="L32" i="1"/>
  <c r="L24" i="1"/>
  <c r="L16" i="1"/>
  <c r="O9" i="1"/>
  <c r="O26" i="1"/>
  <c r="O18" i="1"/>
  <c r="O10" i="1"/>
  <c r="P27" i="1"/>
  <c r="P19" i="1"/>
  <c r="P11" i="1"/>
  <c r="P17" i="1"/>
  <c r="K30" i="1"/>
  <c r="K22" i="1"/>
  <c r="K14" i="1"/>
  <c r="L31" i="1"/>
  <c r="L23" i="1"/>
  <c r="L15" i="1"/>
  <c r="O33" i="1"/>
  <c r="O25" i="1"/>
  <c r="O17" i="1"/>
  <c r="P9" i="1"/>
  <c r="P26" i="1"/>
  <c r="P18" i="1"/>
  <c r="E26" i="4"/>
  <c r="C13" i="5" s="1"/>
  <c r="Q13" i="5" s="1"/>
  <c r="C26" i="4"/>
  <c r="C11" i="5" s="1"/>
  <c r="D26" i="4"/>
  <c r="C12" i="5" s="1"/>
  <c r="Q12" i="5" s="1"/>
  <c r="G26" i="4"/>
  <c r="C15" i="5" s="1"/>
  <c r="Q15" i="5" s="1"/>
  <c r="D3" i="5"/>
  <c r="I56" i="3"/>
  <c r="H13" i="3"/>
  <c r="H23" i="3"/>
  <c r="H9" i="3"/>
  <c r="B15" i="3"/>
  <c r="E19" i="3"/>
  <c r="E24" i="3"/>
  <c r="H31" i="3"/>
  <c r="H53" i="3"/>
  <c r="B19" i="3"/>
  <c r="B30" i="3"/>
  <c r="H47" i="3"/>
  <c r="E10" i="3"/>
  <c r="E15" i="3"/>
  <c r="E20" i="3"/>
  <c r="H25" i="3"/>
  <c r="E32" i="3"/>
  <c r="H54" i="3"/>
  <c r="B11" i="3"/>
  <c r="H15" i="3"/>
  <c r="B21" i="3"/>
  <c r="E26" i="3"/>
  <c r="H36" i="3"/>
  <c r="H59" i="3"/>
  <c r="H16" i="3"/>
  <c r="H21" i="3"/>
  <c r="E27" i="3"/>
  <c r="H61" i="3"/>
  <c r="B9" i="3"/>
  <c r="E11" i="3"/>
  <c r="H11" i="3"/>
  <c r="B22" i="3"/>
  <c r="H66" i="3"/>
  <c r="H12" i="3"/>
  <c r="H17" i="3"/>
  <c r="E22" i="3"/>
  <c r="H28" i="3"/>
  <c r="H41" i="3"/>
  <c r="H67" i="3"/>
  <c r="B17" i="3"/>
  <c r="H27" i="3"/>
  <c r="H8" i="3"/>
  <c r="B13" i="3"/>
  <c r="B18" i="3"/>
  <c r="E23" i="3"/>
  <c r="H29" i="3"/>
  <c r="H46" i="3"/>
  <c r="H73" i="3"/>
  <c r="F12" i="3"/>
  <c r="I10" i="3"/>
  <c r="I29" i="3"/>
  <c r="C15" i="3"/>
  <c r="C9" i="3"/>
  <c r="C11" i="3"/>
  <c r="F13" i="3"/>
  <c r="H19" i="3"/>
  <c r="I21" i="3"/>
  <c r="C24" i="3"/>
  <c r="B26" i="3"/>
  <c r="E28" i="3"/>
  <c r="E30" i="3"/>
  <c r="F32" i="3"/>
  <c r="I37" i="3"/>
  <c r="H42" i="3"/>
  <c r="H49" i="3"/>
  <c r="H55" i="3"/>
  <c r="I61" i="3"/>
  <c r="I68" i="3"/>
  <c r="H74" i="3"/>
  <c r="I26" i="4"/>
  <c r="C17" i="5" s="1"/>
  <c r="Q17" i="5" s="1"/>
  <c r="H12" i="5"/>
  <c r="K12" i="5" s="1"/>
  <c r="I35" i="3"/>
  <c r="I65" i="3"/>
  <c r="C19" i="3"/>
  <c r="C32" i="3"/>
  <c r="I60" i="3"/>
  <c r="I25" i="3"/>
  <c r="I41" i="3"/>
  <c r="I73" i="3"/>
  <c r="H15" i="5"/>
  <c r="N15" i="5" s="1"/>
  <c r="I17" i="3"/>
  <c r="C20" i="3"/>
  <c r="F28" i="3"/>
  <c r="I30" i="3"/>
  <c r="H32" i="3"/>
  <c r="H43" i="3"/>
  <c r="I49" i="3"/>
  <c r="H62" i="3"/>
  <c r="H69" i="3"/>
  <c r="H75" i="3"/>
  <c r="I75" i="3"/>
  <c r="I71" i="3"/>
  <c r="I67" i="3"/>
  <c r="I63" i="3"/>
  <c r="I59" i="3"/>
  <c r="I55" i="3"/>
  <c r="I51" i="3"/>
  <c r="I47" i="3"/>
  <c r="I43" i="3"/>
  <c r="I39" i="3"/>
  <c r="I36" i="3"/>
  <c r="I34" i="3"/>
  <c r="I31" i="3"/>
  <c r="F30" i="3"/>
  <c r="C29" i="3"/>
  <c r="I27" i="3"/>
  <c r="F26" i="3"/>
  <c r="C25" i="3"/>
  <c r="I23" i="3"/>
  <c r="F22" i="3"/>
  <c r="C21" i="3"/>
  <c r="I19" i="3"/>
  <c r="F18" i="3"/>
  <c r="C17" i="3"/>
  <c r="I15" i="3"/>
  <c r="F14" i="3"/>
  <c r="C13" i="3"/>
  <c r="I11" i="3"/>
  <c r="F10" i="3"/>
  <c r="I74" i="3"/>
  <c r="I70" i="3"/>
  <c r="I66" i="3"/>
  <c r="I62" i="3"/>
  <c r="I58" i="3"/>
  <c r="I54" i="3"/>
  <c r="I50" i="3"/>
  <c r="I46" i="3"/>
  <c r="I42" i="3"/>
  <c r="I38" i="3"/>
  <c r="I32" i="3"/>
  <c r="F31" i="3"/>
  <c r="C30" i="3"/>
  <c r="I28" i="3"/>
  <c r="F27" i="3"/>
  <c r="C26" i="3"/>
  <c r="I24" i="3"/>
  <c r="F23" i="3"/>
  <c r="C22" i="3"/>
  <c r="I20" i="3"/>
  <c r="F19" i="3"/>
  <c r="C18" i="3"/>
  <c r="I16" i="3"/>
  <c r="F15" i="3"/>
  <c r="C14" i="3"/>
  <c r="I12" i="3"/>
  <c r="F11" i="3"/>
  <c r="C10" i="3"/>
  <c r="I8" i="3"/>
  <c r="I26" i="3"/>
  <c r="B31" i="3"/>
  <c r="H34" i="3"/>
  <c r="I44" i="3"/>
  <c r="H50" i="3"/>
  <c r="H57" i="3"/>
  <c r="H63" i="3"/>
  <c r="I69" i="3"/>
  <c r="I76" i="3"/>
  <c r="H16" i="5"/>
  <c r="N16" i="5" s="1"/>
  <c r="C23" i="3"/>
  <c r="F21" i="3"/>
  <c r="I53" i="3"/>
  <c r="E11" i="5"/>
  <c r="E12" i="5" s="1"/>
  <c r="E13" i="5" s="1"/>
  <c r="E14" i="5" s="1"/>
  <c r="E15" i="5" s="1"/>
  <c r="E16" i="5" s="1"/>
  <c r="E17" i="5" s="1"/>
  <c r="F17" i="3"/>
  <c r="C28" i="3"/>
  <c r="I48" i="3"/>
  <c r="F9" i="3"/>
  <c r="I13" i="3"/>
  <c r="C16" i="3"/>
  <c r="F24" i="3"/>
  <c r="C8" i="3"/>
  <c r="C12" i="3"/>
  <c r="B14" i="3"/>
  <c r="E16" i="3"/>
  <c r="E18" i="3"/>
  <c r="F20" i="3"/>
  <c r="I22" i="3"/>
  <c r="H24" i="3"/>
  <c r="B27" i="3"/>
  <c r="B29" i="3"/>
  <c r="C31" i="3"/>
  <c r="H38" i="3"/>
  <c r="H45" i="3"/>
  <c r="H51" i="3"/>
  <c r="I57" i="3"/>
  <c r="I64" i="3"/>
  <c r="H26" i="4"/>
  <c r="C16" i="5" s="1"/>
  <c r="Q16" i="5" s="1"/>
  <c r="F8" i="3"/>
  <c r="I14" i="3"/>
  <c r="F25" i="3"/>
  <c r="I40" i="3"/>
  <c r="I72" i="3"/>
  <c r="I9" i="3"/>
  <c r="H76" i="3"/>
  <c r="H72" i="3"/>
  <c r="H68" i="3"/>
  <c r="H64" i="3"/>
  <c r="H60" i="3"/>
  <c r="H56" i="3"/>
  <c r="H52" i="3"/>
  <c r="H48" i="3"/>
  <c r="H44" i="3"/>
  <c r="H40" i="3"/>
  <c r="H37" i="3"/>
  <c r="B32" i="3"/>
  <c r="H30" i="3"/>
  <c r="E29" i="3"/>
  <c r="B28" i="3"/>
  <c r="H26" i="3"/>
  <c r="E25" i="3"/>
  <c r="B24" i="3"/>
  <c r="H22" i="3"/>
  <c r="E21" i="3"/>
  <c r="B20" i="3"/>
  <c r="H18" i="3"/>
  <c r="E17" i="3"/>
  <c r="B16" i="3"/>
  <c r="H14" i="3"/>
  <c r="E13" i="3"/>
  <c r="B12" i="3"/>
  <c r="H10" i="3"/>
  <c r="E9" i="3"/>
  <c r="B8" i="3"/>
  <c r="C18" i="1"/>
  <c r="E8" i="3"/>
  <c r="B10" i="3"/>
  <c r="E12" i="3"/>
  <c r="E14" i="3"/>
  <c r="F16" i="3"/>
  <c r="I18" i="3"/>
  <c r="H20" i="3"/>
  <c r="B23" i="3"/>
  <c r="B25" i="3"/>
  <c r="C27" i="3"/>
  <c r="F29" i="3"/>
  <c r="E31" i="3"/>
  <c r="H35" i="3"/>
  <c r="H39" i="3"/>
  <c r="I45" i="3"/>
  <c r="I52" i="3"/>
  <c r="H58" i="3"/>
  <c r="H65" i="3"/>
  <c r="H71" i="3"/>
  <c r="T79" i="1" l="1"/>
  <c r="K17" i="5"/>
  <c r="K13" i="5"/>
  <c r="K14" i="5"/>
  <c r="L14" i="5"/>
  <c r="T80" i="1"/>
  <c r="L37" i="1"/>
  <c r="L36" i="1"/>
  <c r="N11" i="5"/>
  <c r="K11" i="5"/>
  <c r="O17" i="5"/>
  <c r="P17" i="5" s="1"/>
  <c r="K15" i="5"/>
  <c r="O15" i="5" s="1"/>
  <c r="P15" i="5" s="1"/>
  <c r="N12" i="5"/>
  <c r="O12" i="5" s="1"/>
  <c r="P12" i="5" s="1"/>
  <c r="O13" i="5"/>
  <c r="P13" i="5" s="1"/>
  <c r="I12" i="5"/>
  <c r="J12" i="5" s="1"/>
  <c r="L15" i="5"/>
  <c r="L11" i="5"/>
  <c r="L17" i="5"/>
  <c r="L12" i="5"/>
  <c r="L13" i="5"/>
  <c r="L16" i="5"/>
  <c r="C35" i="3"/>
  <c r="C36" i="3"/>
  <c r="K16" i="5"/>
  <c r="O16" i="5" s="1"/>
  <c r="P16" i="5" s="1"/>
  <c r="I79" i="3"/>
  <c r="I78" i="3"/>
  <c r="F36" i="3"/>
  <c r="F35" i="3"/>
  <c r="O14" i="5"/>
  <c r="P14" i="5" s="1"/>
  <c r="M11" i="5" l="1"/>
  <c r="I13" i="5"/>
  <c r="I14" i="5" s="1"/>
  <c r="S12" i="5"/>
  <c r="R12" i="5"/>
  <c r="M12" i="5"/>
  <c r="U12" i="5" l="1"/>
  <c r="Y12" i="5" s="1"/>
  <c r="X12" i="5" s="1"/>
  <c r="J13" i="5"/>
  <c r="S13" i="5" s="1"/>
  <c r="J14" i="5"/>
  <c r="I15" i="5"/>
  <c r="M13" i="5" l="1"/>
  <c r="R13" i="5"/>
  <c r="S14" i="5"/>
  <c r="R14" i="5"/>
  <c r="M14" i="5"/>
  <c r="I16" i="5"/>
  <c r="J15" i="5"/>
  <c r="U14" i="5" l="1"/>
  <c r="Y14" i="5" s="1"/>
  <c r="X14" i="5" s="1"/>
  <c r="U13" i="5"/>
  <c r="Y13" i="5" s="1"/>
  <c r="X13" i="5" s="1"/>
  <c r="S15" i="5"/>
  <c r="R15" i="5"/>
  <c r="U15" i="5" s="1"/>
  <c r="M15" i="5"/>
  <c r="I17" i="5"/>
  <c r="J17" i="5" s="1"/>
  <c r="J16" i="5"/>
  <c r="S16" i="5" l="1"/>
  <c r="R16" i="5"/>
  <c r="M16" i="5"/>
  <c r="S17" i="5"/>
  <c r="M17" i="5"/>
  <c r="R17" i="5"/>
  <c r="Y15" i="5"/>
  <c r="X15" i="5" s="1"/>
  <c r="U17" i="5" l="1"/>
  <c r="Y17" i="5" s="1"/>
  <c r="X17" i="5" s="1"/>
  <c r="U16" i="5"/>
  <c r="Y16" i="5" s="1"/>
  <c r="X16" i="5" s="1"/>
  <c r="T13" i="5" l="1"/>
  <c r="W12" i="5" l="1"/>
  <c r="V12" i="5" s="1"/>
  <c r="T14" i="5"/>
  <c r="W13" i="5"/>
  <c r="V13" i="5" s="1"/>
  <c r="T15" i="5" l="1"/>
  <c r="W14" i="5"/>
  <c r="V14" i="5" s="1"/>
  <c r="T16" i="5" l="1"/>
  <c r="W16" i="5" s="1"/>
  <c r="W15" i="5"/>
  <c r="V15" i="5" s="1"/>
  <c r="T17" i="5" l="1"/>
  <c r="W17" i="5" s="1"/>
  <c r="V16" i="5"/>
  <c r="V17" i="5" l="1"/>
</calcChain>
</file>

<file path=xl/sharedStrings.xml><?xml version="1.0" encoding="utf-8"?>
<sst xmlns="http://schemas.openxmlformats.org/spreadsheetml/2006/main" count="169" uniqueCount="136">
  <si>
    <t>Variables de trabajo</t>
  </si>
  <si>
    <t>Variables medidas</t>
  </si>
  <si>
    <t>Variables de interes</t>
  </si>
  <si>
    <r>
      <rPr>
        <b/>
        <sz val="16"/>
        <color rgb="FF1F497D"/>
        <rFont val="Abadi"/>
      </rPr>
      <t>Tabla 2.</t>
    </r>
    <r>
      <rPr>
        <sz val="16"/>
        <color rgb="FF1F497D"/>
        <rFont val="Abadi"/>
      </rPr>
      <t xml:space="preserve"> Lecturas del manómetro conectado a la línea de flujo del fluido de trabajo durante la prueba de desplazamiento.</t>
    </r>
  </si>
  <si>
    <r>
      <rPr>
        <b/>
        <sz val="15"/>
        <color rgb="FFFF0000"/>
        <rFont val="Abadi"/>
      </rPr>
      <t>A:</t>
    </r>
    <r>
      <rPr>
        <sz val="15"/>
        <color rgb="FFFF0000"/>
        <rFont val="Abadi"/>
      </rPr>
      <t xml:space="preserve"> Inyección de agua [1mL/min]; registro cada 3 minutos</t>
    </r>
  </si>
  <si>
    <r>
      <rPr>
        <b/>
        <sz val="15"/>
        <color rgb="FFFF0000"/>
        <rFont val="Abadi"/>
      </rPr>
      <t xml:space="preserve">B: </t>
    </r>
    <r>
      <rPr>
        <sz val="15"/>
        <color rgb="FFFF0000"/>
        <rFont val="Abadi"/>
      </rPr>
      <t>Inyección de vaselina [1mL/min]; registro cada 3 minutos</t>
    </r>
  </si>
  <si>
    <t>Primera gota de aceite @7.5 ml</t>
  </si>
  <si>
    <r>
      <rPr>
        <b/>
        <sz val="15"/>
        <color rgb="FFFF0000"/>
        <rFont val="Abadi"/>
      </rPr>
      <t>C:</t>
    </r>
    <r>
      <rPr>
        <sz val="15"/>
        <color rgb="FFFF0000"/>
        <rFont val="Abadi"/>
      </rPr>
      <t xml:space="preserve"> Inyección de agua [1mL/min]; registro cada minuto</t>
    </r>
  </si>
  <si>
    <t>Registro c/1min</t>
  </si>
  <si>
    <t>sobre presurización</t>
  </si>
  <si>
    <t>de la bomba</t>
  </si>
  <si>
    <t>Ruptura probeta 2</t>
  </si>
  <si>
    <r>
      <rPr>
        <b/>
        <sz val="16"/>
        <color rgb="FF1F497D"/>
        <rFont val="Abadi"/>
      </rPr>
      <t>Tabla 3.</t>
    </r>
    <r>
      <rPr>
        <sz val="16"/>
        <color rgb="FF1F497D"/>
        <rFont val="Abadi"/>
      </rPr>
      <t xml:space="preserve"> </t>
    </r>
  </si>
  <si>
    <t>k absoluta</t>
  </si>
  <si>
    <t xml:space="preserve">ko </t>
  </si>
  <si>
    <t>kw</t>
  </si>
  <si>
    <t>Vpi</t>
  </si>
  <si>
    <t>K(mD)</t>
  </si>
  <si>
    <t>Ko (mD)</t>
  </si>
  <si>
    <t>Kw (mD)</t>
  </si>
  <si>
    <t>Promedio</t>
  </si>
  <si>
    <t>Desviación estándar</t>
  </si>
  <si>
    <t>Delta P promedio</t>
  </si>
  <si>
    <t>Base</t>
  </si>
  <si>
    <t>Probeta</t>
  </si>
  <si>
    <t>ΔP</t>
  </si>
  <si>
    <t>1/IR*Qwi</t>
  </si>
  <si>
    <t>1/Qwi</t>
  </si>
  <si>
    <t>[psi]</t>
  </si>
  <si>
    <t>Volúmenes porosos de agua inyectada desplazante</t>
  </si>
  <si>
    <t>Saturación de agua promedio</t>
  </si>
  <si>
    <t>Cociente de permeabilidades</t>
  </si>
  <si>
    <r>
      <rPr>
        <b/>
        <sz val="16"/>
        <color rgb="FF1F497D"/>
        <rFont val="Arial"/>
        <family val="2"/>
      </rPr>
      <t>Tabla 1.</t>
    </r>
    <r>
      <rPr>
        <sz val="16"/>
        <color rgb="FF1F497D"/>
        <rFont val="Arial"/>
        <family val="2"/>
      </rPr>
      <t xml:space="preserve"> Datos de la muestra de roca arenisca y fluidos de trabajo para desplazamiento miscible</t>
    </r>
  </si>
  <si>
    <t>[°C]</t>
  </si>
  <si>
    <t>[cm]</t>
  </si>
  <si>
    <t>[g]</t>
  </si>
  <si>
    <t>Masa muestra seca</t>
  </si>
  <si>
    <t>[%]</t>
  </si>
  <si>
    <t>[cP]</t>
  </si>
  <si>
    <t xml:space="preserve">[cP] </t>
  </si>
  <si>
    <t xml:space="preserve">Caudal de trabajo para  k absoluta, primera inyección de agua </t>
  </si>
  <si>
    <t>Longitud</t>
  </si>
  <si>
    <t>Diámetro</t>
  </si>
  <si>
    <t>Masa muestra saturada</t>
  </si>
  <si>
    <r>
      <t>Saturación de agua residual S</t>
    </r>
    <r>
      <rPr>
        <b/>
        <vertAlign val="subscript"/>
        <sz val="14"/>
        <color theme="1"/>
        <rFont val="Arial"/>
        <family val="2"/>
      </rPr>
      <t>wr</t>
    </r>
    <r>
      <rPr>
        <b/>
        <sz val="14"/>
        <color theme="1"/>
        <rFont val="Arial"/>
        <family val="2"/>
      </rPr>
      <t xml:space="preserve"> </t>
    </r>
  </si>
  <si>
    <r>
      <t>Saturación de aceite residual S</t>
    </r>
    <r>
      <rPr>
        <b/>
        <vertAlign val="subscript"/>
        <sz val="14"/>
        <color theme="1"/>
        <rFont val="Arial"/>
        <family val="2"/>
      </rPr>
      <t>or</t>
    </r>
    <r>
      <rPr>
        <b/>
        <sz val="14"/>
        <color theme="1"/>
        <rFont val="Arial"/>
        <family val="2"/>
      </rPr>
      <t xml:space="preserve"> </t>
    </r>
  </si>
  <si>
    <t>Temperatura</t>
  </si>
  <si>
    <t>Contrapresión</t>
  </si>
  <si>
    <t>Presión de confinamiento</t>
  </si>
  <si>
    <r>
      <t>[cm</t>
    </r>
    <r>
      <rPr>
        <vertAlign val="superscript"/>
        <sz val="14"/>
        <color rgb="FF000000"/>
        <rFont val="Arial"/>
        <family val="2"/>
      </rPr>
      <t>3</t>
    </r>
    <r>
      <rPr>
        <sz val="14"/>
        <color rgb="FF000000"/>
        <rFont val="Arial"/>
        <family val="2"/>
      </rPr>
      <t>]</t>
    </r>
  </si>
  <si>
    <r>
      <t>[cm</t>
    </r>
    <r>
      <rPr>
        <vertAlign val="superscript"/>
        <sz val="14"/>
        <color theme="1"/>
        <rFont val="Arial"/>
        <family val="2"/>
      </rPr>
      <t>2</t>
    </r>
    <r>
      <rPr>
        <sz val="14"/>
        <color theme="1"/>
        <rFont val="Arial"/>
        <family val="2"/>
      </rPr>
      <t xml:space="preserve">] </t>
    </r>
  </si>
  <si>
    <r>
      <t>[g/cm</t>
    </r>
    <r>
      <rPr>
        <vertAlign val="superscript"/>
        <sz val="14"/>
        <color theme="1"/>
        <rFont val="Arial"/>
        <family val="2"/>
      </rPr>
      <t>3</t>
    </r>
    <r>
      <rPr>
        <sz val="14"/>
        <color theme="1"/>
        <rFont val="Arial"/>
        <family val="2"/>
      </rPr>
      <t>]</t>
    </r>
  </si>
  <si>
    <r>
      <t>[cm</t>
    </r>
    <r>
      <rPr>
        <vertAlign val="superscript"/>
        <sz val="14"/>
        <color theme="1"/>
        <rFont val="Arial"/>
        <family val="2"/>
      </rPr>
      <t>3</t>
    </r>
    <r>
      <rPr>
        <sz val="14"/>
        <color theme="1"/>
        <rFont val="Arial"/>
        <family val="2"/>
      </rPr>
      <t>/min]</t>
    </r>
  </si>
  <si>
    <r>
      <t>[cm</t>
    </r>
    <r>
      <rPr>
        <vertAlign val="superscript"/>
        <sz val="14"/>
        <color theme="1"/>
        <rFont val="Arial"/>
        <family val="2"/>
      </rPr>
      <t>3</t>
    </r>
    <r>
      <rPr>
        <sz val="14"/>
        <color theme="1"/>
        <rFont val="Arial"/>
        <family val="2"/>
      </rPr>
      <t>]</t>
    </r>
  </si>
  <si>
    <t>Volumen total de aceite desplazado por el agua</t>
  </si>
  <si>
    <t>Área, A</t>
  </si>
  <si>
    <t>Muestra antes de la prueba, sin saturar</t>
  </si>
  <si>
    <t>Muestra después de la prueba</t>
  </si>
  <si>
    <t>Volumen de la línea salida de celda</t>
  </si>
  <si>
    <t>Volumen poroso ocupado por agua, VP</t>
  </si>
  <si>
    <r>
      <t xml:space="preserve">Densidad del fluido de saturación, </t>
    </r>
    <r>
      <rPr>
        <b/>
        <sz val="14"/>
        <color theme="1"/>
        <rFont val="Symbol"/>
        <family val="1"/>
        <charset val="2"/>
      </rPr>
      <t>r</t>
    </r>
  </si>
  <si>
    <r>
      <t xml:space="preserve">Porosidad, </t>
    </r>
    <r>
      <rPr>
        <b/>
        <sz val="14"/>
        <color theme="1"/>
        <rFont val="Calibri"/>
        <family val="2"/>
      </rPr>
      <t>φ</t>
    </r>
  </si>
  <si>
    <r>
      <t>Caudal de trabajo k</t>
    </r>
    <r>
      <rPr>
        <b/>
        <vertAlign val="subscript"/>
        <sz val="14"/>
        <color theme="1"/>
        <rFont val="Arial"/>
        <family val="2"/>
      </rPr>
      <t>w</t>
    </r>
    <r>
      <rPr>
        <b/>
        <sz val="14"/>
        <color theme="1"/>
        <rFont val="Arial"/>
        <family val="2"/>
      </rPr>
      <t xml:space="preserve">-segunda inyección de agua </t>
    </r>
  </si>
  <si>
    <t>Tiempo [min]</t>
  </si>
  <si>
    <t>Presión [psia]</t>
  </si>
  <si>
    <r>
      <rPr>
        <b/>
        <sz val="16"/>
        <color rgb="FF1F497D"/>
        <rFont val="Arial"/>
        <family val="2"/>
      </rPr>
      <t>Tabla 2.</t>
    </r>
    <r>
      <rPr>
        <sz val="16"/>
        <color rgb="FF1F497D"/>
        <rFont val="Arial"/>
        <family val="2"/>
      </rPr>
      <t xml:space="preserve"> Lecturas del manómetro conectado a la línea de flujo del fluido de trabajo durante la prueba de desplazamiento.</t>
    </r>
  </si>
  <si>
    <r>
      <t>Caudal de trabajo para  k</t>
    </r>
    <r>
      <rPr>
        <b/>
        <vertAlign val="subscript"/>
        <sz val="14"/>
        <color theme="1"/>
        <rFont val="Arial"/>
        <family val="2"/>
      </rPr>
      <t>o</t>
    </r>
    <r>
      <rPr>
        <b/>
        <sz val="14"/>
        <color theme="1"/>
        <rFont val="Arial"/>
        <family val="2"/>
      </rPr>
      <t>, inyección de aceite mineral</t>
    </r>
  </si>
  <si>
    <t>Viscosidad agua @ presión y temperatura de trabajo</t>
  </si>
  <si>
    <r>
      <rPr>
        <b/>
        <sz val="14"/>
        <color theme="1"/>
        <rFont val="Symbol"/>
        <family val="1"/>
        <charset val="2"/>
      </rPr>
      <t xml:space="preserve"> D</t>
    </r>
    <r>
      <rPr>
        <b/>
        <sz val="14"/>
        <color theme="1"/>
        <rFont val="Arial"/>
        <family val="2"/>
      </rPr>
      <t>Presión [psia]</t>
    </r>
  </si>
  <si>
    <r>
      <rPr>
        <b/>
        <sz val="15"/>
        <color rgb="FFFF0000"/>
        <rFont val="Abadi"/>
      </rPr>
      <t xml:space="preserve">B: </t>
    </r>
    <r>
      <rPr>
        <sz val="15"/>
        <color rgb="FFFF0000"/>
        <rFont val="Abadi"/>
      </rPr>
      <t>Inyección de aceite [1mL/min]; registro cada 3 minutos</t>
    </r>
  </si>
  <si>
    <t>VPi</t>
  </si>
  <si>
    <r>
      <rPr>
        <b/>
        <sz val="13"/>
        <color theme="1"/>
        <rFont val="Symbol"/>
        <family val="1"/>
        <charset val="2"/>
      </rPr>
      <t>D</t>
    </r>
    <r>
      <rPr>
        <b/>
        <sz val="13"/>
        <color theme="1"/>
        <rFont val="Arial Nova"/>
        <family val="2"/>
      </rPr>
      <t>P Promedio</t>
    </r>
  </si>
  <si>
    <t>Desv. Est.</t>
  </si>
  <si>
    <t>157,54</t>
  </si>
  <si>
    <t>87,41</t>
  </si>
  <si>
    <t>Viscosidad de aceite @ presión y temperatura de trabajo</t>
  </si>
  <si>
    <t>ko efectiva</t>
  </si>
  <si>
    <t>kw efectiva</t>
  </si>
  <si>
    <t>(mD)</t>
  </si>
  <si>
    <t xml:space="preserve"> (mD)</t>
  </si>
  <si>
    <t>Vol. probeta [mL]</t>
  </si>
  <si>
    <t>Vol. agua [mL]</t>
  </si>
  <si>
    <t>Vol. aceite [mL]</t>
  </si>
  <si>
    <r>
      <rPr>
        <b/>
        <sz val="16"/>
        <color rgb="FF1F497D"/>
        <rFont val="Arial"/>
        <family val="2"/>
      </rPr>
      <t>Tabla 3.</t>
    </r>
    <r>
      <rPr>
        <sz val="16"/>
        <color rgb="FF1F497D"/>
        <rFont val="Arial"/>
        <family val="2"/>
      </rPr>
      <t xml:space="preserve">  Cálculo de permeabilidad absoluta, calculada con datos de inyección de agua [A], Tabla 2</t>
    </r>
  </si>
  <si>
    <r>
      <rPr>
        <b/>
        <sz val="16"/>
        <color rgb="FF1F497D"/>
        <rFont val="Arial"/>
        <family val="2"/>
      </rPr>
      <t>Tabla 4.</t>
    </r>
    <r>
      <rPr>
        <sz val="16"/>
        <color rgb="FF1F497D"/>
        <rFont val="Arial"/>
        <family val="2"/>
      </rPr>
      <t xml:space="preserve">  Cálculo de permeabilidad al aceite, calculada con datos de inyección de aceite mineral [B], Tabla 2</t>
    </r>
  </si>
  <si>
    <r>
      <rPr>
        <b/>
        <sz val="16"/>
        <color rgb="FF1F497D"/>
        <rFont val="Arial"/>
        <family val="2"/>
      </rPr>
      <t>Tabla 5.</t>
    </r>
    <r>
      <rPr>
        <sz val="16"/>
        <color rgb="FF1F497D"/>
        <rFont val="Arial"/>
        <family val="2"/>
      </rPr>
      <t xml:space="preserve">  Cálculo de permeabilidad al aceite, calculada con datos de inyección de agua [C], Tabla 2</t>
    </r>
  </si>
  <si>
    <t>Permeabilidad efectiva al aceite (ko) a la saturación residual de agua (Swr)</t>
  </si>
  <si>
    <t>Volumen total de agua desplazada por el aceite</t>
  </si>
  <si>
    <t>Saturación de agua residual</t>
  </si>
  <si>
    <r>
      <t>Q</t>
    </r>
    <r>
      <rPr>
        <vertAlign val="subscript"/>
        <sz val="14"/>
        <color theme="1"/>
        <rFont val="Arial"/>
        <family val="2"/>
      </rPr>
      <t>wi</t>
    </r>
  </si>
  <si>
    <r>
      <t>f</t>
    </r>
    <r>
      <rPr>
        <vertAlign val="subscript"/>
        <sz val="14"/>
        <color theme="1"/>
        <rFont val="Arial"/>
        <family val="2"/>
      </rPr>
      <t>wL</t>
    </r>
  </si>
  <si>
    <r>
      <t>S</t>
    </r>
    <r>
      <rPr>
        <vertAlign val="subscript"/>
        <sz val="14"/>
        <color theme="1"/>
        <rFont val="Arial"/>
        <family val="2"/>
      </rPr>
      <t>wL</t>
    </r>
  </si>
  <si>
    <r>
      <t>kr</t>
    </r>
    <r>
      <rPr>
        <vertAlign val="subscript"/>
        <sz val="14"/>
        <color theme="1"/>
        <rFont val="Arial"/>
        <family val="2"/>
      </rPr>
      <t>wL</t>
    </r>
    <r>
      <rPr>
        <sz val="14"/>
        <color theme="1"/>
        <rFont val="Arial"/>
        <family val="2"/>
      </rPr>
      <t>/kr</t>
    </r>
    <r>
      <rPr>
        <vertAlign val="subscript"/>
        <sz val="14"/>
        <color theme="1"/>
        <rFont val="Arial"/>
        <family val="2"/>
      </rPr>
      <t>oL</t>
    </r>
  </si>
  <si>
    <r>
      <t>kr</t>
    </r>
    <r>
      <rPr>
        <vertAlign val="subscript"/>
        <sz val="14"/>
        <color theme="1"/>
        <rFont val="Arial"/>
        <family val="2"/>
      </rPr>
      <t>oL</t>
    </r>
    <r>
      <rPr>
        <sz val="14"/>
        <color theme="1"/>
        <rFont val="Arial"/>
        <family val="2"/>
      </rPr>
      <t>/kr</t>
    </r>
    <r>
      <rPr>
        <vertAlign val="subscript"/>
        <sz val="14"/>
        <color theme="1"/>
        <rFont val="Arial"/>
        <family val="2"/>
      </rPr>
      <t>wL</t>
    </r>
  </si>
  <si>
    <r>
      <t>V</t>
    </r>
    <r>
      <rPr>
        <vertAlign val="subscript"/>
        <sz val="14"/>
        <color theme="1"/>
        <rFont val="Arial"/>
        <family val="2"/>
      </rPr>
      <t>w</t>
    </r>
  </si>
  <si>
    <r>
      <t>V</t>
    </r>
    <r>
      <rPr>
        <vertAlign val="subscript"/>
        <sz val="14"/>
        <color theme="1"/>
        <rFont val="Arial"/>
        <family val="2"/>
      </rPr>
      <t>o</t>
    </r>
  </si>
  <si>
    <r>
      <t>V</t>
    </r>
    <r>
      <rPr>
        <vertAlign val="subscript"/>
        <sz val="14"/>
        <color theme="1"/>
        <rFont val="Arial"/>
        <family val="2"/>
      </rPr>
      <t>w</t>
    </r>
    <r>
      <rPr>
        <sz val="14"/>
        <color theme="1"/>
        <rFont val="Arial"/>
        <family val="2"/>
      </rPr>
      <t xml:space="preserve"> acumulado</t>
    </r>
  </si>
  <si>
    <r>
      <t>V</t>
    </r>
    <r>
      <rPr>
        <vertAlign val="subscript"/>
        <sz val="14"/>
        <color theme="1"/>
        <rFont val="Arial"/>
        <family val="2"/>
      </rPr>
      <t>o</t>
    </r>
    <r>
      <rPr>
        <sz val="14"/>
        <color theme="1"/>
        <rFont val="Arial"/>
        <family val="2"/>
      </rPr>
      <t xml:space="preserve"> acumulado</t>
    </r>
  </si>
  <si>
    <t>Vol. total</t>
  </si>
  <si>
    <t>Vol total acumulado</t>
  </si>
  <si>
    <t>Diferencia de Presión</t>
  </si>
  <si>
    <t>Vol. de agua por probeta</t>
  </si>
  <si>
    <t>Vol. de aceite por probeta</t>
  </si>
  <si>
    <t>Vol. Total de aceite acumulado</t>
  </si>
  <si>
    <t>Vol. de fluidos por probeta</t>
  </si>
  <si>
    <t>Vol. Total de fluidos acumulados</t>
  </si>
  <si>
    <t>Vol. Total de agua acumulada</t>
  </si>
  <si>
    <t>Saturación a la salida de la roca (aproximación Welge)</t>
  </si>
  <si>
    <t>Inyectividad relativa</t>
  </si>
  <si>
    <t>Permeabilidad relativa al agua</t>
  </si>
  <si>
    <t>Permeabilidad relativa al aceite</t>
  </si>
  <si>
    <r>
      <t>kr</t>
    </r>
    <r>
      <rPr>
        <vertAlign val="subscript"/>
        <sz val="14"/>
        <color theme="1"/>
        <rFont val="Arial"/>
        <family val="2"/>
      </rPr>
      <t>w</t>
    </r>
    <r>
      <rPr>
        <sz val="14"/>
        <color theme="1"/>
        <rFont val="Arial"/>
        <family val="2"/>
      </rPr>
      <t xml:space="preserve"> (lineal)</t>
    </r>
  </si>
  <si>
    <r>
      <t>kr</t>
    </r>
    <r>
      <rPr>
        <vertAlign val="subscript"/>
        <sz val="14"/>
        <color theme="1"/>
        <rFont val="Arial"/>
        <family val="2"/>
      </rPr>
      <t>o</t>
    </r>
    <r>
      <rPr>
        <sz val="14"/>
        <color theme="1"/>
        <rFont val="Arial"/>
        <family val="2"/>
      </rPr>
      <t xml:space="preserve">  (lineal)</t>
    </r>
  </si>
  <si>
    <r>
      <t>kr</t>
    </r>
    <r>
      <rPr>
        <vertAlign val="subscript"/>
        <sz val="14"/>
        <color theme="1"/>
        <rFont val="Arial"/>
        <family val="2"/>
      </rPr>
      <t>wL</t>
    </r>
    <r>
      <rPr>
        <sz val="14"/>
        <color theme="1"/>
        <rFont val="Arial"/>
        <family val="2"/>
      </rPr>
      <t xml:space="preserve"> (polinómica)</t>
    </r>
  </si>
  <si>
    <r>
      <t>kr</t>
    </r>
    <r>
      <rPr>
        <vertAlign val="subscript"/>
        <sz val="14"/>
        <color theme="1"/>
        <rFont val="Arial"/>
        <family val="2"/>
      </rPr>
      <t>oL</t>
    </r>
    <r>
      <rPr>
        <sz val="14"/>
        <color theme="1"/>
        <rFont val="Arial"/>
        <family val="2"/>
      </rPr>
      <t xml:space="preserve">  (polinómica)</t>
    </r>
  </si>
  <si>
    <r>
      <t>f</t>
    </r>
    <r>
      <rPr>
        <vertAlign val="subscript"/>
        <sz val="14"/>
        <color theme="1"/>
        <rFont val="Arial"/>
        <family val="2"/>
      </rPr>
      <t>oL</t>
    </r>
  </si>
  <si>
    <t>Inverso Inyectividad Relativa por el agua desplazante</t>
  </si>
  <si>
    <r>
      <rPr>
        <b/>
        <sz val="16"/>
        <color rgb="FF1F497D"/>
        <rFont val="Arial"/>
        <family val="2"/>
      </rPr>
      <t>Tabla 6.</t>
    </r>
    <r>
      <rPr>
        <sz val="16"/>
        <color rgb="FF1F497D"/>
        <rFont val="Arial"/>
        <family val="2"/>
      </rPr>
      <t xml:space="preserve"> Diferencias de  presión y volumen de fluidos colectados para construcción de curva de permeabilidad relativa. Se utilizaron datos del experimento [C] Inyección de agua [1mL/min]; registro cada minuto</t>
    </r>
  </si>
  <si>
    <t>Derivada ajuste lineal</t>
  </si>
  <si>
    <t>Derivada ajuste pólinomica</t>
  </si>
  <si>
    <t>Permeabilidad absoluta al agua (k)</t>
  </si>
  <si>
    <t>Permeabilidad efectiva al agua (kw) a la saturación residual de aceite (Sro)</t>
  </si>
  <si>
    <t>Constante para determinar la permeabilidad*</t>
  </si>
  <si>
    <t xml:space="preserve">*Generado a partir de la conversión de unidades utilizadas en el laboratorio para obtener mD </t>
  </si>
  <si>
    <t>∆P [psia]</t>
  </si>
  <si>
    <r>
      <rPr>
        <sz val="14"/>
        <color theme="1"/>
        <rFont val="Symbol"/>
        <family val="1"/>
        <charset val="2"/>
      </rPr>
      <t>D</t>
    </r>
    <r>
      <rPr>
        <sz val="14"/>
        <color theme="1"/>
        <rFont val="Arial"/>
        <family val="2"/>
      </rPr>
      <t xml:space="preserve">P promedio </t>
    </r>
    <r>
      <rPr>
        <sz val="14"/>
        <color theme="1"/>
        <rFont val="Arial"/>
        <family val="1"/>
        <charset val="2"/>
      </rPr>
      <t>[psia]</t>
    </r>
  </si>
  <si>
    <t>La primera fracción de agua  (fluido desplazante) obtenida se le conoce como ruptura y se colecta en la probeta 2, tras 3.9 mL de aceite desplazados</t>
  </si>
  <si>
    <t>Flujo fraccional de aceite a la salida o en L</t>
  </si>
  <si>
    <t>Flujo fraccional de agua a la salida o en L</t>
  </si>
  <si>
    <t>Volumen probeta 1 antes de la ruptura [mL]</t>
  </si>
  <si>
    <r>
      <rPr>
        <b/>
        <sz val="20"/>
        <color rgb="FF1F497D"/>
        <rFont val="Abadi"/>
      </rPr>
      <t>Tabla 7.</t>
    </r>
    <r>
      <rPr>
        <sz val="20"/>
        <color rgb="FF1F497D"/>
        <rFont val="Abadi"/>
      </rPr>
      <t xml:space="preserve"> Ajuste  la inyectividad relativa por volumen a acumulado y ajuste de la permeabilidad relativa al agua y al aceite</t>
    </r>
  </si>
  <si>
    <t>Ir</t>
  </si>
  <si>
    <t>Agradecimientos</t>
  </si>
  <si>
    <t>Esta práctica y el material didáctico asociado a ésta se llevó a cabo con el apoyo del proyecto PAPIME PE112020 “Diseño y construcción de una celda de desplazamiento para favorecer el aprendizaje en Ingeniería Petrolera”</t>
  </si>
  <si>
    <t>This work is licensed under the Creative Commons Attribution-NonCommercial-ShareAlike 4.0 International License. To view a copy of this license, visit:</t>
  </si>
  <si>
    <t>http://creativecommons.org/licenses/by-nc-sa/4.0/ or send a letter to Creative Commons, PO Box 1866, Mountain View, CA 94042, USA.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</si>
</sst>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#,##0.0000"/>
  </numFmts>
  <fonts count="59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mbria"/>
      <family val="1"/>
    </font>
    <font>
      <sz val="16"/>
      <color rgb="FF1F497D"/>
      <name val="Abadi"/>
    </font>
    <font>
      <sz val="11"/>
      <name val="Calibri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  <scheme val="minor"/>
    </font>
    <font>
      <sz val="15"/>
      <color rgb="FFFF0000"/>
      <name val="Abadi"/>
    </font>
    <font>
      <sz val="11"/>
      <color theme="1"/>
      <name val="Times New Roman"/>
      <family val="1"/>
    </font>
    <font>
      <b/>
      <sz val="16"/>
      <color rgb="FF1F497D"/>
      <name val="Arial"/>
      <family val="2"/>
    </font>
    <font>
      <sz val="16"/>
      <color rgb="FF1F497D"/>
      <name val="Arial"/>
      <family val="2"/>
    </font>
    <font>
      <b/>
      <sz val="14"/>
      <color theme="1"/>
      <name val="Calibri"/>
      <family val="2"/>
    </font>
    <font>
      <b/>
      <sz val="16"/>
      <color rgb="FF1F497D"/>
      <name val="Abadi"/>
    </font>
    <font>
      <b/>
      <sz val="15"/>
      <color rgb="FFFF0000"/>
      <name val="Abadi"/>
    </font>
    <font>
      <sz val="11"/>
      <color rgb="FFFF0000"/>
      <name val="Calibri"/>
      <family val="2"/>
      <scheme val="minor"/>
    </font>
    <font>
      <b/>
      <sz val="14"/>
      <color theme="1"/>
      <name val="Arial"/>
      <family val="2"/>
    </font>
    <font>
      <b/>
      <vertAlign val="subscript"/>
      <sz val="14"/>
      <color theme="1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4"/>
      <color rgb="FF000000"/>
      <name val="Arial"/>
      <family val="2"/>
    </font>
    <font>
      <vertAlign val="superscript"/>
      <sz val="14"/>
      <color rgb="FF000000"/>
      <name val="Arial"/>
      <family val="2"/>
    </font>
    <font>
      <vertAlign val="superscript"/>
      <sz val="14"/>
      <color theme="1"/>
      <name val="Arial"/>
      <family val="2"/>
    </font>
    <font>
      <b/>
      <sz val="14"/>
      <color theme="1"/>
      <name val="Symbol"/>
      <family val="1"/>
      <charset val="2"/>
    </font>
    <font>
      <sz val="16"/>
      <color rgb="FF1F497D"/>
      <name val="Arial"/>
      <family val="2"/>
    </font>
    <font>
      <sz val="11"/>
      <name val="Arial"/>
      <family val="2"/>
    </font>
    <font>
      <b/>
      <sz val="14"/>
      <color theme="1"/>
      <name val="Arial"/>
      <family val="1"/>
      <charset val="2"/>
    </font>
    <font>
      <b/>
      <sz val="13"/>
      <color theme="1"/>
      <name val="Symbol"/>
      <family val="1"/>
      <charset val="2"/>
    </font>
    <font>
      <sz val="15"/>
      <color rgb="FFFF0000"/>
      <name val="Abadi"/>
      <family val="2"/>
    </font>
    <font>
      <b/>
      <sz val="13"/>
      <color theme="1"/>
      <name val="Arial Nova"/>
      <family val="2"/>
    </font>
    <font>
      <b/>
      <sz val="13"/>
      <color theme="1"/>
      <name val="Arial Nova"/>
      <family val="1"/>
      <charset val="2"/>
    </font>
    <font>
      <b/>
      <sz val="14"/>
      <color rgb="FF000000"/>
      <name val="Arial"/>
      <family val="2"/>
    </font>
    <font>
      <sz val="14"/>
      <color rgb="FFFF0000"/>
      <name val="Arial"/>
      <family val="2"/>
    </font>
    <font>
      <vertAlign val="subscript"/>
      <sz val="14"/>
      <color theme="1"/>
      <name val="Arial"/>
      <family val="2"/>
    </font>
    <font>
      <sz val="14"/>
      <color theme="1"/>
      <name val="Symbol"/>
      <family val="1"/>
      <charset val="2"/>
    </font>
    <font>
      <sz val="14"/>
      <color theme="1"/>
      <name val="Arial"/>
      <family val="1"/>
      <charset val="2"/>
    </font>
    <font>
      <sz val="14"/>
      <name val="Arial"/>
      <family val="2"/>
    </font>
    <font>
      <b/>
      <sz val="14"/>
      <color rgb="FFFF0000"/>
      <name val="Arial"/>
      <family val="1"/>
      <charset val="2"/>
    </font>
    <font>
      <b/>
      <sz val="12"/>
      <color theme="1"/>
      <name val="Arial Nova"/>
      <family val="2"/>
    </font>
    <font>
      <sz val="11"/>
      <color rgb="FFFF0000"/>
      <name val="Calibri"/>
      <family val="2"/>
    </font>
    <font>
      <sz val="14"/>
      <color theme="1"/>
      <name val="Arial Nova"/>
      <family val="2"/>
    </font>
    <font>
      <b/>
      <sz val="14"/>
      <color rgb="FF7030A0"/>
      <name val="Arial Nova"/>
      <family val="2"/>
    </font>
    <font>
      <sz val="14"/>
      <color rgb="FF7030A0"/>
      <name val="Arial Nova"/>
      <family val="2"/>
    </font>
    <font>
      <b/>
      <sz val="12"/>
      <name val="Arial Nova"/>
      <family val="2"/>
    </font>
    <font>
      <sz val="11"/>
      <color theme="1"/>
      <name val="Calibri"/>
      <family val="2"/>
    </font>
    <font>
      <sz val="13"/>
      <color theme="1"/>
      <name val="Cambria Math"/>
      <family val="1"/>
    </font>
    <font>
      <sz val="13"/>
      <color theme="4"/>
      <name val="Arial"/>
      <family val="2"/>
    </font>
    <font>
      <sz val="20"/>
      <color rgb="FF1F497D"/>
      <name val="Abadi"/>
    </font>
    <font>
      <b/>
      <sz val="20"/>
      <color rgb="FF1F497D"/>
      <name val="Abadi"/>
    </font>
    <font>
      <sz val="20"/>
      <name val="Calibri"/>
      <family val="2"/>
    </font>
    <font>
      <sz val="20"/>
      <color theme="1"/>
      <name val="Calibri"/>
      <family val="2"/>
      <scheme val="minor"/>
    </font>
    <font>
      <sz val="12"/>
      <color theme="4" tint="-0.249977111117893"/>
      <name val="Arial"/>
      <family val="2"/>
    </font>
    <font>
      <b/>
      <sz val="13"/>
      <color rgb="FF4F81BD"/>
      <name val="Avenir"/>
      <family val="2"/>
    </font>
    <font>
      <sz val="12"/>
      <color rgb="FF000000"/>
      <name val="Avenir"/>
      <family val="2"/>
    </font>
    <font>
      <sz val="12"/>
      <color theme="1"/>
      <name val="Avenir"/>
      <family val="2"/>
    </font>
  </fonts>
  <fills count="3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DAEEF3"/>
        <bgColor rgb="FFDAEEF3"/>
      </patternFill>
    </fill>
    <fill>
      <patternFill patternType="solid">
        <fgColor theme="0"/>
        <bgColor rgb="FFFFFF00"/>
      </patternFill>
    </fill>
    <fill>
      <patternFill patternType="solid">
        <fgColor theme="4" tint="0.79998168889431442"/>
        <b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C2D69B"/>
      </patternFill>
    </fill>
    <fill>
      <patternFill patternType="solid">
        <fgColor theme="4" tint="0.79998168889431442"/>
        <bgColor rgb="FF8DB3E2"/>
      </patternFill>
    </fill>
    <fill>
      <patternFill patternType="solid">
        <fgColor theme="4" tint="0.79998168889431442"/>
        <bgColor rgb="FFFDE9D9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6" tint="0.79998168889431442"/>
        <bgColor rgb="FFFDE9D9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rgb="FF00B0F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DE9D9"/>
      </patternFill>
    </fill>
    <fill>
      <patternFill patternType="solid">
        <fgColor theme="4" tint="0.79998168889431442"/>
        <bgColor rgb="FFD6E3BC"/>
      </patternFill>
    </fill>
    <fill>
      <patternFill patternType="solid">
        <fgColor rgb="FF92D050"/>
        <bgColor rgb="FFFDE9D9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D6E3BC"/>
      </patternFill>
    </fill>
    <fill>
      <patternFill patternType="solid">
        <fgColor theme="4" tint="0.59999389629810485"/>
        <bgColor theme="0"/>
      </patternFill>
    </fill>
    <fill>
      <patternFill patternType="solid">
        <fgColor theme="4" tint="0.59999389629810485"/>
        <bgColor rgb="FFD6E3BC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FDE9D9"/>
      </patternFill>
    </fill>
  </fills>
  <borders count="4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34">
    <xf numFmtId="0" fontId="0" fillId="0" borderId="0" xfId="0"/>
    <xf numFmtId="0" fontId="2" fillId="0" borderId="0" xfId="0" applyFont="1" applyAlignment="1">
      <alignment horizontal="center"/>
    </xf>
    <xf numFmtId="0" fontId="3" fillId="2" borderId="3" xfId="0" applyFont="1" applyFill="1" applyBorder="1" applyAlignment="1">
      <alignment vertical="center" wrapText="1"/>
    </xf>
    <xf numFmtId="0" fontId="9" fillId="0" borderId="0" xfId="0" applyFont="1" applyAlignment="1">
      <alignment horizont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/>
    <xf numFmtId="0" fontId="10" fillId="0" borderId="0" xfId="0" applyFont="1" applyAlignment="1">
      <alignment horizontal="center"/>
    </xf>
    <xf numFmtId="2" fontId="8" fillId="0" borderId="0" xfId="0" applyNumberFormat="1" applyFont="1"/>
    <xf numFmtId="2" fontId="8" fillId="0" borderId="0" xfId="0" applyNumberFormat="1" applyFont="1" applyAlignment="1">
      <alignment horizontal="center"/>
    </xf>
    <xf numFmtId="3" fontId="8" fillId="0" borderId="0" xfId="0" applyNumberFormat="1" applyFont="1"/>
    <xf numFmtId="0" fontId="11" fillId="0" borderId="0" xfId="0" applyFont="1"/>
    <xf numFmtId="0" fontId="3" fillId="2" borderId="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vertical="center"/>
    </xf>
    <xf numFmtId="0" fontId="12" fillId="2" borderId="8" xfId="0" applyFont="1" applyFill="1" applyBorder="1" applyAlignment="1">
      <alignment vertical="center" wrapText="1"/>
    </xf>
    <xf numFmtId="0" fontId="6" fillId="3" borderId="20" xfId="0" applyFont="1" applyFill="1" applyBorder="1" applyAlignment="1">
      <alignment horizontal="center"/>
    </xf>
    <xf numFmtId="49" fontId="10" fillId="0" borderId="0" xfId="0" applyNumberFormat="1" applyFont="1" applyAlignment="1">
      <alignment horizontal="center"/>
    </xf>
    <xf numFmtId="49" fontId="10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left"/>
    </xf>
    <xf numFmtId="2" fontId="8" fillId="0" borderId="9" xfId="0" applyNumberFormat="1" applyFont="1" applyBorder="1" applyAlignment="1">
      <alignment horizontal="left"/>
    </xf>
    <xf numFmtId="0" fontId="7" fillId="0" borderId="0" xfId="0" applyFont="1" applyAlignment="1">
      <alignment horizontal="center"/>
    </xf>
    <xf numFmtId="0" fontId="8" fillId="0" borderId="9" xfId="0" applyFont="1" applyBorder="1" applyAlignment="1">
      <alignment horizontal="left"/>
    </xf>
    <xf numFmtId="0" fontId="13" fillId="0" borderId="0" xfId="0" applyFont="1"/>
    <xf numFmtId="0" fontId="5" fillId="2" borderId="11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2" fontId="8" fillId="4" borderId="20" xfId="0" applyNumberFormat="1" applyFont="1" applyFill="1" applyBorder="1" applyAlignment="1">
      <alignment horizontal="center"/>
    </xf>
    <xf numFmtId="2" fontId="8" fillId="5" borderId="3" xfId="0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vertical="center"/>
    </xf>
    <xf numFmtId="165" fontId="6" fillId="3" borderId="20" xfId="0" applyNumberFormat="1" applyFont="1" applyFill="1" applyBorder="1" applyAlignment="1">
      <alignment horizontal="center"/>
    </xf>
    <xf numFmtId="0" fontId="4" fillId="0" borderId="26" xfId="0" applyFont="1" applyBorder="1"/>
    <xf numFmtId="0" fontId="8" fillId="7" borderId="3" xfId="0" applyFont="1" applyFill="1" applyBorder="1" applyAlignment="1">
      <alignment horizontal="left" vertical="center"/>
    </xf>
    <xf numFmtId="0" fontId="8" fillId="7" borderId="3" xfId="0" applyFont="1" applyFill="1" applyBorder="1" applyAlignment="1">
      <alignment vertical="center" wrapText="1"/>
    </xf>
    <xf numFmtId="0" fontId="0" fillId="0" borderId="33" xfId="0" applyBorder="1"/>
    <xf numFmtId="0" fontId="8" fillId="0" borderId="33" xfId="0" applyFont="1" applyBorder="1" applyAlignment="1">
      <alignment horizontal="center"/>
    </xf>
    <xf numFmtId="0" fontId="0" fillId="0" borderId="39" xfId="0" applyBorder="1"/>
    <xf numFmtId="0" fontId="23" fillId="0" borderId="33" xfId="0" applyFont="1" applyBorder="1"/>
    <xf numFmtId="0" fontId="20" fillId="8" borderId="32" xfId="0" applyFont="1" applyFill="1" applyBorder="1"/>
    <xf numFmtId="164" fontId="6" fillId="8" borderId="19" xfId="0" applyNumberFormat="1" applyFont="1" applyFill="1" applyBorder="1" applyAlignment="1">
      <alignment horizontal="right"/>
    </xf>
    <xf numFmtId="0" fontId="23" fillId="9" borderId="33" xfId="0" applyFont="1" applyFill="1" applyBorder="1"/>
    <xf numFmtId="164" fontId="6" fillId="10" borderId="19" xfId="0" applyNumberFormat="1" applyFont="1" applyFill="1" applyBorder="1" applyAlignment="1">
      <alignment horizontal="right"/>
    </xf>
    <xf numFmtId="0" fontId="24" fillId="9" borderId="33" xfId="0" applyFont="1" applyFill="1" applyBorder="1"/>
    <xf numFmtId="0" fontId="5" fillId="8" borderId="32" xfId="0" applyFont="1" applyFill="1" applyBorder="1"/>
    <xf numFmtId="164" fontId="6" fillId="11" borderId="19" xfId="0" applyNumberFormat="1" applyFont="1" applyFill="1" applyBorder="1" applyAlignment="1">
      <alignment horizontal="right"/>
    </xf>
    <xf numFmtId="164" fontId="6" fillId="12" borderId="19" xfId="0" applyNumberFormat="1" applyFont="1" applyFill="1" applyBorder="1" applyAlignment="1">
      <alignment horizontal="right"/>
    </xf>
    <xf numFmtId="0" fontId="23" fillId="9" borderId="33" xfId="0" applyFont="1" applyFill="1" applyBorder="1" applyAlignment="1">
      <alignment wrapText="1"/>
    </xf>
    <xf numFmtId="2" fontId="23" fillId="9" borderId="33" xfId="0" applyNumberFormat="1" applyFont="1" applyFill="1" applyBorder="1"/>
    <xf numFmtId="2" fontId="8" fillId="9" borderId="33" xfId="0" applyNumberFormat="1" applyFont="1" applyFill="1" applyBorder="1" applyAlignment="1">
      <alignment horizontal="center"/>
    </xf>
    <xf numFmtId="0" fontId="5" fillId="8" borderId="34" xfId="0" applyFont="1" applyFill="1" applyBorder="1" applyAlignment="1">
      <alignment horizontal="left"/>
    </xf>
    <xf numFmtId="164" fontId="6" fillId="8" borderId="35" xfId="0" applyNumberFormat="1" applyFont="1" applyFill="1" applyBorder="1" applyAlignment="1">
      <alignment horizontal="right"/>
    </xf>
    <xf numFmtId="0" fontId="0" fillId="9" borderId="36" xfId="0" applyFill="1" applyBorder="1"/>
    <xf numFmtId="0" fontId="20" fillId="2" borderId="20" xfId="0" applyFont="1" applyFill="1" applyBorder="1" applyAlignment="1">
      <alignment vertical="center"/>
    </xf>
    <xf numFmtId="0" fontId="20" fillId="2" borderId="12" xfId="0" applyFont="1" applyFill="1" applyBorder="1" applyAlignment="1">
      <alignment vertical="center"/>
    </xf>
    <xf numFmtId="0" fontId="20" fillId="12" borderId="32" xfId="0" applyFont="1" applyFill="1" applyBorder="1"/>
    <xf numFmtId="0" fontId="20" fillId="2" borderId="20" xfId="0" applyFont="1" applyFill="1" applyBorder="1" applyAlignment="1">
      <alignment horizontal="center" vertical="center"/>
    </xf>
    <xf numFmtId="0" fontId="22" fillId="0" borderId="0" xfId="0" applyFont="1"/>
    <xf numFmtId="0" fontId="28" fillId="2" borderId="1" xfId="0" applyFont="1" applyFill="1" applyBorder="1" applyAlignment="1">
      <alignment vertical="center" wrapText="1"/>
    </xf>
    <xf numFmtId="0" fontId="0" fillId="0" borderId="19" xfId="0" applyBorder="1"/>
    <xf numFmtId="0" fontId="20" fillId="2" borderId="11" xfId="0" applyFont="1" applyFill="1" applyBorder="1" applyAlignment="1">
      <alignment horizontal="center" vertical="center"/>
    </xf>
    <xf numFmtId="165" fontId="6" fillId="14" borderId="20" xfId="0" applyNumberFormat="1" applyFont="1" applyFill="1" applyBorder="1" applyAlignment="1">
      <alignment horizontal="center"/>
    </xf>
    <xf numFmtId="165" fontId="6" fillId="14" borderId="20" xfId="0" applyNumberFormat="1" applyFont="1" applyFill="1" applyBorder="1" applyAlignment="1">
      <alignment horizontal="center" vertical="center"/>
    </xf>
    <xf numFmtId="0" fontId="23" fillId="0" borderId="0" xfId="0" applyFont="1"/>
    <xf numFmtId="2" fontId="23" fillId="5" borderId="3" xfId="0" applyNumberFormat="1" applyFont="1" applyFill="1" applyBorder="1" applyAlignment="1">
      <alignment horizontal="center"/>
    </xf>
    <xf numFmtId="0" fontId="33" fillId="0" borderId="0" xfId="0" applyFont="1"/>
    <xf numFmtId="0" fontId="34" fillId="0" borderId="0" xfId="0" applyFont="1"/>
    <xf numFmtId="0" fontId="23" fillId="0" borderId="0" xfId="0" applyFont="1" applyAlignment="1">
      <alignment wrapText="1"/>
    </xf>
    <xf numFmtId="0" fontId="1" fillId="0" borderId="19" xfId="0" applyFont="1" applyBorder="1" applyAlignment="1">
      <alignment wrapText="1"/>
    </xf>
    <xf numFmtId="0" fontId="20" fillId="15" borderId="31" xfId="0" applyFont="1" applyFill="1" applyBorder="1" applyAlignment="1">
      <alignment horizontal="center" vertical="center" wrapText="1"/>
    </xf>
    <xf numFmtId="2" fontId="23" fillId="18" borderId="20" xfId="0" applyNumberFormat="1" applyFont="1" applyFill="1" applyBorder="1" applyAlignment="1">
      <alignment horizontal="center"/>
    </xf>
    <xf numFmtId="0" fontId="23" fillId="19" borderId="31" xfId="0" applyFont="1" applyFill="1" applyBorder="1" applyAlignment="1">
      <alignment horizontal="center" wrapText="1"/>
    </xf>
    <xf numFmtId="165" fontId="23" fillId="17" borderId="31" xfId="0" applyNumberFormat="1" applyFont="1" applyFill="1" applyBorder="1" applyAlignment="1">
      <alignment horizontal="center" vertical="center" wrapText="1"/>
    </xf>
    <xf numFmtId="166" fontId="23" fillId="17" borderId="31" xfId="0" applyNumberFormat="1" applyFont="1" applyFill="1" applyBorder="1" applyAlignment="1">
      <alignment horizontal="center" vertical="center" wrapText="1"/>
    </xf>
    <xf numFmtId="0" fontId="20" fillId="2" borderId="30" xfId="0" applyFont="1" applyFill="1" applyBorder="1" applyAlignment="1">
      <alignment horizontal="center" vertical="center"/>
    </xf>
    <xf numFmtId="0" fontId="20" fillId="2" borderId="28" xfId="0" applyFont="1" applyFill="1" applyBorder="1" applyAlignment="1">
      <alignment horizontal="center" vertical="center"/>
    </xf>
    <xf numFmtId="2" fontId="23" fillId="0" borderId="20" xfId="0" applyNumberFormat="1" applyFont="1" applyBorder="1"/>
    <xf numFmtId="0" fontId="23" fillId="0" borderId="20" xfId="0" applyFont="1" applyBorder="1"/>
    <xf numFmtId="2" fontId="23" fillId="0" borderId="30" xfId="0" applyNumberFormat="1" applyFont="1" applyBorder="1"/>
    <xf numFmtId="2" fontId="23" fillId="6" borderId="20" xfId="0" applyNumberFormat="1" applyFont="1" applyFill="1" applyBorder="1"/>
    <xf numFmtId="0" fontId="23" fillId="3" borderId="20" xfId="0" applyFont="1" applyFill="1" applyBorder="1"/>
    <xf numFmtId="2" fontId="23" fillId="0" borderId="11" xfId="0" applyNumberFormat="1" applyFont="1" applyBorder="1"/>
    <xf numFmtId="2" fontId="23" fillId="0" borderId="29" xfId="0" applyNumberFormat="1" applyFont="1" applyBorder="1"/>
    <xf numFmtId="0" fontId="20" fillId="2" borderId="10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vertical="center" wrapText="1"/>
    </xf>
    <xf numFmtId="0" fontId="0" fillId="20" borderId="0" xfId="0" applyFill="1"/>
    <xf numFmtId="0" fontId="41" fillId="2" borderId="19" xfId="0" applyFont="1" applyFill="1" applyBorder="1" applyAlignment="1">
      <alignment horizontal="center" vertical="center" wrapText="1"/>
    </xf>
    <xf numFmtId="0" fontId="4" fillId="20" borderId="19" xfId="0" applyFont="1" applyFill="1" applyBorder="1"/>
    <xf numFmtId="0" fontId="6" fillId="21" borderId="19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44" fillId="0" borderId="0" xfId="0" applyFont="1"/>
    <xf numFmtId="164" fontId="44" fillId="0" borderId="0" xfId="0" applyNumberFormat="1" applyFont="1" applyAlignment="1">
      <alignment horizontal="center"/>
    </xf>
    <xf numFmtId="165" fontId="44" fillId="0" borderId="0" xfId="0" applyNumberFormat="1" applyFont="1" applyAlignment="1">
      <alignment horizontal="center"/>
    </xf>
    <xf numFmtId="2" fontId="44" fillId="0" borderId="0" xfId="0" applyNumberFormat="1" applyFont="1" applyAlignment="1">
      <alignment horizontal="center"/>
    </xf>
    <xf numFmtId="165" fontId="44" fillId="0" borderId="0" xfId="0" applyNumberFormat="1" applyFont="1" applyAlignment="1">
      <alignment horizontal="center" vertical="center"/>
    </xf>
    <xf numFmtId="0" fontId="46" fillId="0" borderId="0" xfId="0" applyFont="1"/>
    <xf numFmtId="0" fontId="46" fillId="0" borderId="0" xfId="0" applyFont="1" applyAlignment="1">
      <alignment horizontal="left"/>
    </xf>
    <xf numFmtId="0" fontId="23" fillId="2" borderId="11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vertical="center"/>
    </xf>
    <xf numFmtId="0" fontId="4" fillId="0" borderId="27" xfId="0" applyFont="1" applyBorder="1"/>
    <xf numFmtId="0" fontId="23" fillId="2" borderId="28" xfId="0" applyFont="1" applyFill="1" applyBorder="1" applyAlignment="1">
      <alignment horizontal="center" vertical="center"/>
    </xf>
    <xf numFmtId="0" fontId="24" fillId="2" borderId="28" xfId="0" applyFont="1" applyFill="1" applyBorder="1" applyAlignment="1">
      <alignment horizontal="center" vertical="center"/>
    </xf>
    <xf numFmtId="0" fontId="23" fillId="2" borderId="28" xfId="0" applyFont="1" applyFill="1" applyBorder="1" applyAlignment="1">
      <alignment horizontal="center" vertical="center" wrapText="1"/>
    </xf>
    <xf numFmtId="0" fontId="47" fillId="0" borderId="31" xfId="0" applyFont="1" applyBorder="1" applyAlignment="1">
      <alignment horizontal="center" vertical="center" wrapText="1"/>
    </xf>
    <xf numFmtId="0" fontId="47" fillId="0" borderId="31" xfId="0" applyFont="1" applyBorder="1" applyAlignment="1">
      <alignment horizontal="center" vertical="center"/>
    </xf>
    <xf numFmtId="0" fontId="42" fillId="2" borderId="19" xfId="0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2" fontId="6" fillId="21" borderId="20" xfId="0" applyNumberFormat="1" applyFont="1" applyFill="1" applyBorder="1" applyAlignment="1">
      <alignment horizontal="center"/>
    </xf>
    <xf numFmtId="0" fontId="6" fillId="21" borderId="20" xfId="0" applyFont="1" applyFill="1" applyBorder="1" applyAlignment="1">
      <alignment horizontal="center"/>
    </xf>
    <xf numFmtId="165" fontId="6" fillId="21" borderId="20" xfId="0" applyNumberFormat="1" applyFont="1" applyFill="1" applyBorder="1" applyAlignment="1">
      <alignment horizontal="center"/>
    </xf>
    <xf numFmtId="165" fontId="6" fillId="22" borderId="20" xfId="0" applyNumberFormat="1" applyFont="1" applyFill="1" applyBorder="1" applyAlignment="1">
      <alignment horizontal="center"/>
    </xf>
    <xf numFmtId="165" fontId="6" fillId="12" borderId="20" xfId="0" applyNumberFormat="1" applyFont="1" applyFill="1" applyBorder="1" applyAlignment="1">
      <alignment horizontal="center"/>
    </xf>
    <xf numFmtId="3" fontId="48" fillId="0" borderId="0" xfId="0" applyNumberFormat="1" applyFont="1"/>
    <xf numFmtId="0" fontId="23" fillId="23" borderId="20" xfId="0" applyFont="1" applyFill="1" applyBorder="1"/>
    <xf numFmtId="0" fontId="42" fillId="13" borderId="41" xfId="0" applyFont="1" applyFill="1" applyBorder="1" applyAlignment="1">
      <alignment horizontal="center" vertical="center" wrapText="1"/>
    </xf>
    <xf numFmtId="0" fontId="20" fillId="2" borderId="29" xfId="0" applyFont="1" applyFill="1" applyBorder="1" applyAlignment="1">
      <alignment horizontal="center" vertical="center"/>
    </xf>
    <xf numFmtId="0" fontId="30" fillId="2" borderId="24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/>
    </xf>
    <xf numFmtId="0" fontId="6" fillId="3" borderId="29" xfId="0" applyFont="1" applyFill="1" applyBorder="1" applyAlignment="1">
      <alignment horizontal="center"/>
    </xf>
    <xf numFmtId="0" fontId="19" fillId="0" borderId="19" xfId="0" applyFont="1" applyBorder="1"/>
    <xf numFmtId="165" fontId="6" fillId="17" borderId="31" xfId="0" applyNumberFormat="1" applyFont="1" applyFill="1" applyBorder="1" applyAlignment="1">
      <alignment horizontal="center" vertical="center" wrapText="1"/>
    </xf>
    <xf numFmtId="0" fontId="20" fillId="9" borderId="0" xfId="0" applyFont="1" applyFill="1" applyAlignment="1">
      <alignment horizontal="center"/>
    </xf>
    <xf numFmtId="164" fontId="6" fillId="9" borderId="19" xfId="0" applyNumberFormat="1" applyFont="1" applyFill="1" applyBorder="1" applyAlignment="1">
      <alignment horizontal="right"/>
    </xf>
    <xf numFmtId="0" fontId="23" fillId="0" borderId="19" xfId="0" applyFont="1" applyBorder="1"/>
    <xf numFmtId="0" fontId="36" fillId="0" borderId="19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3" fillId="19" borderId="42" xfId="0" applyFont="1" applyFill="1" applyBorder="1" applyAlignment="1">
      <alignment horizontal="center" vertical="center"/>
    </xf>
    <xf numFmtId="0" fontId="36" fillId="24" borderId="3" xfId="0" applyFont="1" applyFill="1" applyBorder="1"/>
    <xf numFmtId="0" fontId="36" fillId="20" borderId="0" xfId="0" applyFont="1" applyFill="1"/>
    <xf numFmtId="0" fontId="23" fillId="20" borderId="19" xfId="0" applyFont="1" applyFill="1" applyBorder="1"/>
    <xf numFmtId="0" fontId="6" fillId="2" borderId="13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164" fontId="6" fillId="25" borderId="31" xfId="0" applyNumberFormat="1" applyFont="1" applyFill="1" applyBorder="1" applyAlignment="1">
      <alignment horizontal="center" vertical="center"/>
    </xf>
    <xf numFmtId="0" fontId="43" fillId="24" borderId="3" xfId="0" applyFont="1" applyFill="1" applyBorder="1"/>
    <xf numFmtId="0" fontId="43" fillId="24" borderId="3" xfId="0" applyFont="1" applyFill="1" applyBorder="1" applyAlignment="1">
      <alignment horizontal="center"/>
    </xf>
    <xf numFmtId="0" fontId="8" fillId="7" borderId="3" xfId="0" applyFont="1" applyFill="1" applyBorder="1"/>
    <xf numFmtId="0" fontId="11" fillId="20" borderId="0" xfId="0" applyFont="1" applyFill="1"/>
    <xf numFmtId="0" fontId="6" fillId="26" borderId="20" xfId="0" applyFont="1" applyFill="1" applyBorder="1" applyAlignment="1">
      <alignment horizontal="center"/>
    </xf>
    <xf numFmtId="165" fontId="6" fillId="26" borderId="20" xfId="0" applyNumberFormat="1" applyFont="1" applyFill="1" applyBorder="1" applyAlignment="1">
      <alignment horizontal="center"/>
    </xf>
    <xf numFmtId="165" fontId="6" fillId="28" borderId="20" xfId="0" applyNumberFormat="1" applyFont="1" applyFill="1" applyBorder="1" applyAlignment="1">
      <alignment horizontal="center"/>
    </xf>
    <xf numFmtId="0" fontId="47" fillId="29" borderId="31" xfId="0" applyFont="1" applyFill="1" applyBorder="1" applyAlignment="1">
      <alignment horizontal="center" vertical="center" wrapText="1"/>
    </xf>
    <xf numFmtId="0" fontId="23" fillId="27" borderId="40" xfId="0" applyFont="1" applyFill="1" applyBorder="1" applyAlignment="1">
      <alignment horizontal="center" vertical="center"/>
    </xf>
    <xf numFmtId="0" fontId="5" fillId="27" borderId="12" xfId="0" applyFont="1" applyFill="1" applyBorder="1" applyAlignment="1">
      <alignment horizontal="center" vertical="center"/>
    </xf>
    <xf numFmtId="0" fontId="5" fillId="27" borderId="20" xfId="0" applyFont="1" applyFill="1" applyBorder="1" applyAlignment="1">
      <alignment horizontal="center" vertical="center"/>
    </xf>
    <xf numFmtId="0" fontId="6" fillId="30" borderId="20" xfId="0" applyFont="1" applyFill="1" applyBorder="1" applyAlignment="1">
      <alignment horizontal="center"/>
    </xf>
    <xf numFmtId="165" fontId="6" fillId="30" borderId="20" xfId="0" applyNumberFormat="1" applyFont="1" applyFill="1" applyBorder="1" applyAlignment="1">
      <alignment horizontal="center"/>
    </xf>
    <xf numFmtId="0" fontId="6" fillId="28" borderId="30" xfId="0" applyFont="1" applyFill="1" applyBorder="1" applyAlignment="1">
      <alignment horizontal="center"/>
    </xf>
    <xf numFmtId="0" fontId="6" fillId="12" borderId="30" xfId="0" applyFont="1" applyFill="1" applyBorder="1" applyAlignment="1">
      <alignment horizontal="center"/>
    </xf>
    <xf numFmtId="0" fontId="5" fillId="27" borderId="31" xfId="0" applyFont="1" applyFill="1" applyBorder="1" applyAlignment="1">
      <alignment horizontal="center" vertical="center"/>
    </xf>
    <xf numFmtId="0" fontId="5" fillId="13" borderId="31" xfId="0" applyFont="1" applyFill="1" applyBorder="1" applyAlignment="1">
      <alignment horizontal="center" vertical="center"/>
    </xf>
    <xf numFmtId="0" fontId="49" fillId="9" borderId="31" xfId="0" applyFont="1" applyFill="1" applyBorder="1"/>
    <xf numFmtId="0" fontId="23" fillId="27" borderId="45" xfId="0" applyFont="1" applyFill="1" applyBorder="1" applyAlignment="1">
      <alignment horizontal="center" vertical="center"/>
    </xf>
    <xf numFmtId="0" fontId="42" fillId="27" borderId="46" xfId="0" applyFont="1" applyFill="1" applyBorder="1" applyAlignment="1">
      <alignment horizontal="center" vertical="center" wrapText="1"/>
    </xf>
    <xf numFmtId="0" fontId="47" fillId="9" borderId="47" xfId="0" applyFont="1" applyFill="1" applyBorder="1" applyAlignment="1">
      <alignment horizontal="center" vertical="center" wrapText="1"/>
    </xf>
    <xf numFmtId="0" fontId="23" fillId="27" borderId="31" xfId="0" applyFont="1" applyFill="1" applyBorder="1" applyAlignment="1">
      <alignment horizontal="center" vertical="center"/>
    </xf>
    <xf numFmtId="0" fontId="23" fillId="13" borderId="31" xfId="0" applyFont="1" applyFill="1" applyBorder="1" applyAlignment="1">
      <alignment horizontal="center" vertical="center"/>
    </xf>
    <xf numFmtId="0" fontId="42" fillId="20" borderId="31" xfId="0" applyFont="1" applyFill="1" applyBorder="1" applyAlignment="1">
      <alignment horizontal="center" vertical="center" wrapText="1"/>
    </xf>
    <xf numFmtId="0" fontId="42" fillId="20" borderId="31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46" fillId="0" borderId="19" xfId="0" applyFont="1" applyBorder="1"/>
    <xf numFmtId="0" fontId="5" fillId="25" borderId="19" xfId="0" applyFont="1" applyFill="1" applyBorder="1" applyAlignment="1">
      <alignment horizontal="left" vertical="center" wrapText="1"/>
    </xf>
    <xf numFmtId="164" fontId="6" fillId="25" borderId="19" xfId="0" applyNumberFormat="1" applyFont="1" applyFill="1" applyBorder="1" applyAlignment="1">
      <alignment horizontal="center" vertical="center"/>
    </xf>
    <xf numFmtId="0" fontId="53" fillId="9" borderId="19" xfId="0" applyFont="1" applyFill="1" applyBorder="1"/>
    <xf numFmtId="0" fontId="43" fillId="24" borderId="19" xfId="0" applyFont="1" applyFill="1" applyBorder="1"/>
    <xf numFmtId="0" fontId="43" fillId="24" borderId="19" xfId="0" applyFont="1" applyFill="1" applyBorder="1" applyAlignment="1">
      <alignment horizontal="center"/>
    </xf>
    <xf numFmtId="0" fontId="8" fillId="7" borderId="19" xfId="0" applyFont="1" applyFill="1" applyBorder="1"/>
    <xf numFmtId="2" fontId="23" fillId="16" borderId="0" xfId="0" applyNumberFormat="1" applyFont="1" applyFill="1" applyAlignment="1">
      <alignment horizontal="center" wrapText="1"/>
    </xf>
    <xf numFmtId="0" fontId="6" fillId="22" borderId="30" xfId="0" applyFont="1" applyFill="1" applyBorder="1" applyAlignment="1">
      <alignment horizontal="center"/>
    </xf>
    <xf numFmtId="0" fontId="0" fillId="9" borderId="31" xfId="0" applyFill="1" applyBorder="1"/>
    <xf numFmtId="0" fontId="6" fillId="9" borderId="31" xfId="0" applyFont="1" applyFill="1" applyBorder="1" applyAlignment="1">
      <alignment horizontal="center" vertical="center"/>
    </xf>
    <xf numFmtId="0" fontId="50" fillId="0" borderId="0" xfId="0" applyFont="1" applyAlignment="1">
      <alignment horizontal="left"/>
    </xf>
    <xf numFmtId="0" fontId="15" fillId="13" borderId="1" xfId="0" applyFont="1" applyFill="1" applyBorder="1" applyAlignment="1">
      <alignment horizontal="center" vertical="center" wrapText="1"/>
    </xf>
    <xf numFmtId="0" fontId="12" fillId="2" borderId="31" xfId="0" applyFont="1" applyFill="1" applyBorder="1" applyAlignment="1">
      <alignment horizontal="center" vertical="center" wrapText="1"/>
    </xf>
    <xf numFmtId="0" fontId="32" fillId="2" borderId="31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/>
    </xf>
    <xf numFmtId="0" fontId="4" fillId="0" borderId="19" xfId="0" applyFont="1" applyBorder="1"/>
    <xf numFmtId="0" fontId="5" fillId="2" borderId="19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/>
    </xf>
    <xf numFmtId="0" fontId="4" fillId="0" borderId="38" xfId="0" applyFont="1" applyBorder="1"/>
    <xf numFmtId="0" fontId="42" fillId="9" borderId="19" xfId="0" applyFont="1" applyFill="1" applyBorder="1" applyAlignment="1">
      <alignment horizontal="center" vertical="center" wrapText="1"/>
    </xf>
    <xf numFmtId="0" fontId="42" fillId="9" borderId="25" xfId="0" applyFont="1" applyFill="1" applyBorder="1" applyAlignment="1">
      <alignment horizontal="center" vertical="center" wrapText="1"/>
    </xf>
    <xf numFmtId="0" fontId="28" fillId="13" borderId="1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4" fillId="0" borderId="7" xfId="0" applyFont="1" applyBorder="1"/>
    <xf numFmtId="0" fontId="8" fillId="0" borderId="0" xfId="0" applyFont="1"/>
    <xf numFmtId="0" fontId="0" fillId="0" borderId="0" xfId="0"/>
    <xf numFmtId="0" fontId="35" fillId="0" borderId="31" xfId="0" applyFont="1" applyBorder="1" applyAlignment="1">
      <alignment horizontal="center" vertical="center"/>
    </xf>
    <xf numFmtId="0" fontId="20" fillId="15" borderId="31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4" fillId="0" borderId="21" xfId="0" applyFont="1" applyBorder="1"/>
    <xf numFmtId="0" fontId="4" fillId="0" borderId="22" xfId="0" applyFont="1" applyBorder="1"/>
    <xf numFmtId="0" fontId="3" fillId="2" borderId="1" xfId="0" applyFont="1" applyFill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/>
    <xf numFmtId="0" fontId="4" fillId="0" borderId="15" xfId="0" applyFont="1" applyBorder="1"/>
    <xf numFmtId="0" fontId="4" fillId="0" borderId="16" xfId="0" applyFont="1" applyBorder="1"/>
    <xf numFmtId="0" fontId="4" fillId="0" borderId="4" xfId="0" applyFont="1" applyBorder="1"/>
    <xf numFmtId="0" fontId="4" fillId="0" borderId="17" xfId="0" applyFont="1" applyBorder="1"/>
    <xf numFmtId="0" fontId="4" fillId="0" borderId="5" xfId="0" applyFont="1" applyBorder="1"/>
    <xf numFmtId="0" fontId="3" fillId="2" borderId="18" xfId="0" applyFont="1" applyFill="1" applyBorder="1" applyAlignment="1">
      <alignment horizontal="center" vertical="center" wrapText="1"/>
    </xf>
    <xf numFmtId="0" fontId="29" fillId="9" borderId="14" xfId="0" applyFont="1" applyFill="1" applyBorder="1"/>
    <xf numFmtId="0" fontId="29" fillId="9" borderId="15" xfId="0" applyFont="1" applyFill="1" applyBorder="1"/>
    <xf numFmtId="0" fontId="22" fillId="9" borderId="0" xfId="0" applyFont="1" applyFill="1"/>
    <xf numFmtId="0" fontId="29" fillId="9" borderId="4" xfId="0" applyFont="1" applyFill="1" applyBorder="1"/>
    <xf numFmtId="0" fontId="29" fillId="9" borderId="17" xfId="0" applyFont="1" applyFill="1" applyBorder="1"/>
    <xf numFmtId="0" fontId="6" fillId="19" borderId="43" xfId="0" applyFont="1" applyFill="1" applyBorder="1" applyAlignment="1">
      <alignment horizontal="left" vertical="center"/>
    </xf>
    <xf numFmtId="0" fontId="40" fillId="19" borderId="44" xfId="0" applyFont="1" applyFill="1" applyBorder="1" applyAlignment="1">
      <alignment horizontal="left" vertical="center"/>
    </xf>
    <xf numFmtId="0" fontId="40" fillId="0" borderId="9" xfId="0" applyFont="1" applyBorder="1" applyAlignment="1">
      <alignment horizontal="left" vertical="center"/>
    </xf>
    <xf numFmtId="0" fontId="40" fillId="0" borderId="25" xfId="0" applyFont="1" applyBorder="1" applyAlignment="1">
      <alignment horizontal="left" vertical="center"/>
    </xf>
    <xf numFmtId="0" fontId="39" fillId="6" borderId="6" xfId="0" applyFont="1" applyFill="1" applyBorder="1" applyAlignment="1">
      <alignment horizontal="left"/>
    </xf>
    <xf numFmtId="0" fontId="40" fillId="0" borderId="7" xfId="0" applyFont="1" applyBorder="1" applyAlignment="1">
      <alignment horizontal="left"/>
    </xf>
    <xf numFmtId="0" fontId="55" fillId="5" borderId="3" xfId="0" applyFont="1" applyFill="1" applyBorder="1" applyAlignment="1">
      <alignment horizontal="center" wrapText="1"/>
    </xf>
    <xf numFmtId="0" fontId="23" fillId="3" borderId="6" xfId="0" applyFont="1" applyFill="1" applyBorder="1" applyAlignment="1">
      <alignment horizontal="left"/>
    </xf>
    <xf numFmtId="0" fontId="36" fillId="0" borderId="19" xfId="0" applyFont="1" applyBorder="1" applyAlignment="1">
      <alignment horizontal="center" vertical="center"/>
    </xf>
    <xf numFmtId="0" fontId="44" fillId="0" borderId="0" xfId="0" applyFont="1"/>
    <xf numFmtId="0" fontId="46" fillId="0" borderId="0" xfId="0" applyFont="1"/>
    <xf numFmtId="0" fontId="45" fillId="2" borderId="19" xfId="0" applyFont="1" applyFill="1" applyBorder="1" applyAlignment="1">
      <alignment horizontal="center" vertical="center"/>
    </xf>
    <xf numFmtId="0" fontId="46" fillId="0" borderId="19" xfId="0" applyFont="1" applyBorder="1"/>
    <xf numFmtId="0" fontId="51" fillId="13" borderId="1" xfId="0" applyFont="1" applyFill="1" applyBorder="1" applyAlignment="1">
      <alignment horizontal="center" vertical="center" wrapText="1"/>
    </xf>
    <xf numFmtId="0" fontId="53" fillId="9" borderId="14" xfId="0" applyFont="1" applyFill="1" applyBorder="1"/>
    <xf numFmtId="0" fontId="53" fillId="9" borderId="2" xfId="0" applyFont="1" applyFill="1" applyBorder="1"/>
    <xf numFmtId="0" fontId="53" fillId="9" borderId="15" xfId="0" applyFont="1" applyFill="1" applyBorder="1"/>
    <xf numFmtId="0" fontId="54" fillId="9" borderId="0" xfId="0" applyFont="1" applyFill="1"/>
    <xf numFmtId="0" fontId="53" fillId="9" borderId="16" xfId="0" applyFont="1" applyFill="1" applyBorder="1"/>
    <xf numFmtId="0" fontId="53" fillId="9" borderId="4" xfId="0" applyFont="1" applyFill="1" applyBorder="1"/>
    <xf numFmtId="0" fontId="53" fillId="9" borderId="17" xfId="0" applyFont="1" applyFill="1" applyBorder="1"/>
    <xf numFmtId="0" fontId="53" fillId="9" borderId="5" xfId="0" applyFont="1" applyFill="1" applyBorder="1"/>
    <xf numFmtId="0" fontId="7" fillId="0" borderId="26" xfId="0" applyFont="1" applyBorder="1" applyAlignment="1">
      <alignment horizontal="center"/>
    </xf>
    <xf numFmtId="0" fontId="4" fillId="0" borderId="26" xfId="0" applyFont="1" applyBorder="1"/>
    <xf numFmtId="0" fontId="5" fillId="25" borderId="31" xfId="0" applyFont="1" applyFill="1" applyBorder="1" applyAlignment="1">
      <alignment horizontal="left" vertical="center" wrapText="1"/>
    </xf>
    <xf numFmtId="0" fontId="5" fillId="25" borderId="31" xfId="0" applyFont="1" applyFill="1" applyBorder="1" applyAlignment="1">
      <alignment horizontal="center" vertical="center"/>
    </xf>
    <xf numFmtId="0" fontId="56" fillId="0" borderId="0" xfId="0" applyFont="1" applyAlignment="1">
      <alignment horizontal="justify" vertical="center"/>
    </xf>
    <xf numFmtId="0" fontId="57" fillId="0" borderId="0" xfId="0" applyFont="1" applyAlignment="1">
      <alignment horizontal="justify" vertical="center"/>
    </xf>
    <xf numFmtId="0" fontId="58" fillId="0" borderId="0" xfId="0" applyFont="1" applyAlignment="1">
      <alignment horizontal="justify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Permeabilidades!$B$11:$B$32</c:f>
              <c:numCache>
                <c:formatCode>General</c:formatCode>
                <c:ptCount val="22"/>
                <c:pt idx="0">
                  <c:v>0.94139797599435271</c:v>
                </c:pt>
                <c:pt idx="1">
                  <c:v>1.1767474699929408</c:v>
                </c:pt>
                <c:pt idx="2">
                  <c:v>1.4120969639915291</c:v>
                </c:pt>
                <c:pt idx="3">
                  <c:v>1.6474464579901171</c:v>
                </c:pt>
                <c:pt idx="4">
                  <c:v>1.8827959519887054</c:v>
                </c:pt>
                <c:pt idx="5">
                  <c:v>2.1181454459872935</c:v>
                </c:pt>
                <c:pt idx="6">
                  <c:v>2.3534949399858816</c:v>
                </c:pt>
                <c:pt idx="7">
                  <c:v>2.5888444339844701</c:v>
                </c:pt>
                <c:pt idx="8">
                  <c:v>2.8241939279830581</c:v>
                </c:pt>
                <c:pt idx="9">
                  <c:v>3.0595434219816462</c:v>
                </c:pt>
                <c:pt idx="10">
                  <c:v>3.2948929159802343</c:v>
                </c:pt>
                <c:pt idx="11">
                  <c:v>3.5302424099788223</c:v>
                </c:pt>
                <c:pt idx="12">
                  <c:v>3.7655919039774108</c:v>
                </c:pt>
                <c:pt idx="13">
                  <c:v>4.0009413979759989</c:v>
                </c:pt>
                <c:pt idx="14">
                  <c:v>4.236290891974587</c:v>
                </c:pt>
                <c:pt idx="15">
                  <c:v>4.471640385973175</c:v>
                </c:pt>
                <c:pt idx="16">
                  <c:v>4.7069898799717631</c:v>
                </c:pt>
                <c:pt idx="17">
                  <c:v>4.9423393739703512</c:v>
                </c:pt>
                <c:pt idx="18">
                  <c:v>5.1776888679689401</c:v>
                </c:pt>
                <c:pt idx="19">
                  <c:v>5.4130383619675282</c:v>
                </c:pt>
                <c:pt idx="20">
                  <c:v>5.6483878559661163</c:v>
                </c:pt>
                <c:pt idx="21">
                  <c:v>5.8837373499647043</c:v>
                </c:pt>
              </c:numCache>
            </c:numRef>
          </c:xVal>
          <c:yVal>
            <c:numRef>
              <c:f>Permeabilidades!$C$11:$C$32</c:f>
              <c:numCache>
                <c:formatCode>General</c:formatCode>
                <c:ptCount val="22"/>
                <c:pt idx="0">
                  <c:v>56.053434931214873</c:v>
                </c:pt>
                <c:pt idx="1">
                  <c:v>54.347460824612689</c:v>
                </c:pt>
                <c:pt idx="2">
                  <c:v>50.812666624637878</c:v>
                </c:pt>
                <c:pt idx="3">
                  <c:v>48.827796834612961</c:v>
                </c:pt>
                <c:pt idx="4">
                  <c:v>45.787238057365997</c:v>
                </c:pt>
                <c:pt idx="5">
                  <c:v>44.325943225747935</c:v>
                </c:pt>
                <c:pt idx="6">
                  <c:v>42.95503776515779</c:v>
                </c:pt>
                <c:pt idx="7">
                  <c:v>42.087259224447529</c:v>
                </c:pt>
                <c:pt idx="8">
                  <c:v>40.716338728537195</c:v>
                </c:pt>
                <c:pt idx="9">
                  <c:v>39.55669616981303</c:v>
                </c:pt>
                <c:pt idx="10">
                  <c:v>38.819614874723342</c:v>
                </c:pt>
                <c:pt idx="11">
                  <c:v>38.226042781837663</c:v>
                </c:pt>
                <c:pt idx="12">
                  <c:v>37.424898172637477</c:v>
                </c:pt>
                <c:pt idx="13">
                  <c:v>37.091738841723789</c:v>
                </c:pt>
                <c:pt idx="14">
                  <c:v>36.656645130970432</c:v>
                </c:pt>
                <c:pt idx="15">
                  <c:v>36.3369650862236</c:v>
                </c:pt>
                <c:pt idx="16">
                  <c:v>36.126924825609592</c:v>
                </c:pt>
                <c:pt idx="17">
                  <c:v>35.919298820864711</c:v>
                </c:pt>
                <c:pt idx="18">
                  <c:v>35.816378193870825</c:v>
                </c:pt>
                <c:pt idx="19">
                  <c:v>35.714045684745479</c:v>
                </c:pt>
                <c:pt idx="20">
                  <c:v>35.612296266840225</c:v>
                </c:pt>
                <c:pt idx="21">
                  <c:v>35.211030956791319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8A-4040-972E-2F5D4E9A5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901295"/>
        <c:axId val="2132511511"/>
      </c:scatterChart>
      <c:valAx>
        <c:axId val="1010901295"/>
        <c:scaling>
          <c:orientation val="minMax"/>
          <c:max val="6"/>
          <c:min val="0.8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s-MX" sz="1200"/>
                  <a:t>Volúmenes porosos inyectados (VPI)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1200"/>
            </a:pPr>
            <a:endParaRPr lang="en-US"/>
          </a:p>
        </c:txPr>
        <c:crossAx val="2132511511"/>
        <c:crosses val="autoZero"/>
        <c:crossBetween val="midCat"/>
        <c:minorUnit val="0.8"/>
      </c:valAx>
      <c:valAx>
        <c:axId val="2132511511"/>
        <c:scaling>
          <c:orientation val="minMax"/>
          <c:max val="57"/>
          <c:min val="27"/>
        </c:scaling>
        <c:delete val="0"/>
        <c:axPos val="l"/>
        <c:title>
          <c:tx>
            <c:rich>
              <a:bodyPr/>
              <a:lstStyle/>
              <a:p>
                <a:pPr>
                  <a:defRPr sz="1200"/>
                </a:pPr>
                <a:r>
                  <a:rPr lang="es-MX" sz="1200"/>
                  <a:t>Permeabilidad absoluta k (mD)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1200"/>
            </a:pPr>
            <a:endParaRPr lang="en-US"/>
          </a:p>
        </c:txPr>
        <c:crossAx val="1010901295"/>
        <c:crosses val="autoZero"/>
        <c:crossBetween val="midCat"/>
      </c:valAx>
    </c:plotArea>
    <c:plotVisOnly val="1"/>
    <c:dispBlanksAs val="zero"/>
    <c:showDLblsOverMax val="1"/>
  </c:chart>
  <c:txPr>
    <a:bodyPr/>
    <a:lstStyle/>
    <a:p>
      <a:pPr>
        <a:defRPr>
          <a:latin typeface="Arial Nova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500"/>
            </a:pPr>
            <a:r>
              <a:rPr lang="es-MX" sz="1500" b="1" i="0" baseline="0">
                <a:effectLst/>
              </a:rPr>
              <a:t>Ajuste polinómico de la derivada de inyectividad relativa por volumen acumulado</a:t>
            </a:r>
            <a:endParaRPr lang="en-US" sz="1500">
              <a:effectLst/>
            </a:endParaRPr>
          </a:p>
        </c:rich>
      </c:tx>
      <c:layout>
        <c:manualLayout>
          <c:xMode val="edge"/>
          <c:yMode val="edge"/>
          <c:x val="0.15232933765632237"/>
          <c:y val="1.2924071082390954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11933332098193608"/>
          <c:y val="0.12664800987114092"/>
          <c:w val="0.82253962019453453"/>
          <c:h val="0.71761235419078273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trendline>
            <c:spPr>
              <a:ln w="22225"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9871370078740156"/>
                  <c:y val="0.12537137623548267"/>
                </c:manualLayout>
              </c:layout>
              <c:numFmt formatCode="General" sourceLinked="0"/>
            </c:trendlineLbl>
          </c:trendline>
          <c:xVal>
            <c:numRef>
              <c:f>'Curva kr'!$R$12:$R$17</c:f>
              <c:numCache>
                <c:formatCode>0.0000</c:formatCode>
                <c:ptCount val="6"/>
                <c:pt idx="0">
                  <c:v>3.5710790751008328</c:v>
                </c:pt>
                <c:pt idx="1">
                  <c:v>2.1250285830326057</c:v>
                </c:pt>
                <c:pt idx="2">
                  <c:v>1.4891676377673657</c:v>
                </c:pt>
                <c:pt idx="3">
                  <c:v>1.1440430534160133</c:v>
                </c:pt>
                <c:pt idx="4">
                  <c:v>0.91452221137261125</c:v>
                </c:pt>
                <c:pt idx="5">
                  <c:v>0.51566482873568109</c:v>
                </c:pt>
              </c:numCache>
            </c:numRef>
          </c:xVal>
          <c:yVal>
            <c:numRef>
              <c:f>'Curva kr'!$S$12:$S$17</c:f>
              <c:numCache>
                <c:formatCode>0.0000</c:formatCode>
                <c:ptCount val="6"/>
                <c:pt idx="0">
                  <c:v>2.2323992994746029</c:v>
                </c:pt>
                <c:pt idx="1">
                  <c:v>1.257100591715975</c:v>
                </c:pt>
                <c:pt idx="2">
                  <c:v>0.85607790463398159</c:v>
                </c:pt>
                <c:pt idx="3">
                  <c:v>0.64738445911630194</c:v>
                </c:pt>
                <c:pt idx="4">
                  <c:v>0.51192771084337285</c:v>
                </c:pt>
                <c:pt idx="5">
                  <c:v>0.28383433533734098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0C-4286-92CA-254836241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8480803"/>
        <c:axId val="1709750400"/>
      </c:scatterChart>
      <c:valAx>
        <c:axId val="2684808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s-MX" sz="1400"/>
                  <a:t>1/IR*Qwi</a:t>
                </a:r>
              </a:p>
            </c:rich>
          </c:tx>
          <c:layout>
            <c:manualLayout>
              <c:xMode val="edge"/>
              <c:yMode val="edge"/>
              <c:x val="0.43956305697081982"/>
              <c:y val="0.9278521364150967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/>
        </c:spPr>
        <c:crossAx val="1709750400"/>
        <c:crosses val="autoZero"/>
        <c:crossBetween val="midCat"/>
      </c:valAx>
      <c:valAx>
        <c:axId val="17097504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/>
                </a:pPr>
                <a:r>
                  <a:rPr lang="es-MX" sz="1400"/>
                  <a:t>1/Qwi</a:t>
                </a:r>
              </a:p>
            </c:rich>
          </c:tx>
          <c:layout>
            <c:manualLayout>
              <c:xMode val="edge"/>
              <c:yMode val="edge"/>
              <c:x val="1.8823529411764704E-2"/>
              <c:y val="0.4294444939132204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/>
        </c:spPr>
        <c:crossAx val="268480803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8839917414306143"/>
          <c:y val="0.16916955909478576"/>
          <c:w val="0.13007679872163916"/>
          <c:h val="6.8445890107565271E-2"/>
        </c:manualLayout>
      </c:layout>
      <c:overlay val="0"/>
    </c:legend>
    <c:plotVisOnly val="1"/>
    <c:dispBlanksAs val="zero"/>
    <c:showDLblsOverMax val="1"/>
  </c:chart>
  <c:spPr>
    <a:solidFill>
      <a:schemeClr val="accent1">
        <a:lumMod val="40000"/>
        <a:lumOff val="60000"/>
      </a:schemeClr>
    </a:solidFill>
  </c:spPr>
  <c:txPr>
    <a:bodyPr/>
    <a:lstStyle/>
    <a:p>
      <a:pPr>
        <a:defRPr sz="13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01052705453014"/>
          <c:y val="6.6762592175978019E-2"/>
          <c:w val="0.81440387594935548"/>
          <c:h val="0.69074362550757151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Permeabilidades!$E$11:$E$31</c:f>
              <c:numCache>
                <c:formatCode>General</c:formatCode>
                <c:ptCount val="21"/>
                <c:pt idx="0">
                  <c:v>0.94139797599435271</c:v>
                </c:pt>
                <c:pt idx="1">
                  <c:v>1.1767474699929408</c:v>
                </c:pt>
                <c:pt idx="2">
                  <c:v>1.4120969639915291</c:v>
                </c:pt>
                <c:pt idx="3">
                  <c:v>1.6474464579901171</c:v>
                </c:pt>
                <c:pt idx="4">
                  <c:v>1.8827959519887054</c:v>
                </c:pt>
                <c:pt idx="5">
                  <c:v>2.1181454459872935</c:v>
                </c:pt>
                <c:pt idx="6">
                  <c:v>2.3534949399858816</c:v>
                </c:pt>
                <c:pt idx="7">
                  <c:v>2.5888444339844701</c:v>
                </c:pt>
                <c:pt idx="8">
                  <c:v>2.8241939279830581</c:v>
                </c:pt>
                <c:pt idx="9">
                  <c:v>3.0595434219816462</c:v>
                </c:pt>
                <c:pt idx="10">
                  <c:v>3.2948929159802343</c:v>
                </c:pt>
                <c:pt idx="11">
                  <c:v>3.5302424099788223</c:v>
                </c:pt>
                <c:pt idx="12">
                  <c:v>3.7655919039774108</c:v>
                </c:pt>
                <c:pt idx="13">
                  <c:v>4.0009413979759989</c:v>
                </c:pt>
                <c:pt idx="14">
                  <c:v>4.236290891974587</c:v>
                </c:pt>
                <c:pt idx="15">
                  <c:v>4.471640385973175</c:v>
                </c:pt>
                <c:pt idx="16">
                  <c:v>4.7069898799717631</c:v>
                </c:pt>
                <c:pt idx="17">
                  <c:v>4.9423393739703512</c:v>
                </c:pt>
                <c:pt idx="18">
                  <c:v>5.1776888679689401</c:v>
                </c:pt>
                <c:pt idx="19">
                  <c:v>5.4130383619675282</c:v>
                </c:pt>
                <c:pt idx="20">
                  <c:v>5.6483878559661163</c:v>
                </c:pt>
              </c:numCache>
            </c:numRef>
          </c:xVal>
          <c:yVal>
            <c:numRef>
              <c:f>Permeabilidades!$F$11:$F$31</c:f>
              <c:numCache>
                <c:formatCode>General</c:formatCode>
                <c:ptCount val="21"/>
                <c:pt idx="0">
                  <c:v>107.92706113521984</c:v>
                </c:pt>
                <c:pt idx="1">
                  <c:v>105.12161765005358</c:v>
                </c:pt>
                <c:pt idx="2">
                  <c:v>108.95330894316172</c:v>
                </c:pt>
                <c:pt idx="3">
                  <c:v>114.58256323855841</c:v>
                </c:pt>
                <c:pt idx="4">
                  <c:v>119.98174161105594</c:v>
                </c:pt>
                <c:pt idx="5">
                  <c:v>124.09663888652537</c:v>
                </c:pt>
                <c:pt idx="6">
                  <c:v>127.55016315980528</c:v>
                </c:pt>
                <c:pt idx="7">
                  <c:v>130.20745822563458</c:v>
                </c:pt>
                <c:pt idx="8">
                  <c:v>133.23553864948653</c:v>
                </c:pt>
                <c:pt idx="9">
                  <c:v>134.53921319595901</c:v>
                </c:pt>
                <c:pt idx="10">
                  <c:v>136.40781337923622</c:v>
                </c:pt>
                <c:pt idx="11">
                  <c:v>138.05128101031133</c:v>
                </c:pt>
                <c:pt idx="12">
                  <c:v>139.73483321775416</c:v>
                </c:pt>
                <c:pt idx="13">
                  <c:v>141.16948242943542</c:v>
                </c:pt>
                <c:pt idx="14">
                  <c:v>142.3385878739856</c:v>
                </c:pt>
                <c:pt idx="15">
                  <c:v>143.82748523668423</c:v>
                </c:pt>
                <c:pt idx="16">
                  <c:v>145.04121928931445</c:v>
                </c:pt>
                <c:pt idx="17">
                  <c:v>146.27561264496819</c:v>
                </c:pt>
                <c:pt idx="18">
                  <c:v>146.90072210071594</c:v>
                </c:pt>
                <c:pt idx="19">
                  <c:v>147.84846869491406</c:v>
                </c:pt>
                <c:pt idx="20">
                  <c:v>148.80852368643949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3A-47EB-9938-9F27B1496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2426252"/>
        <c:axId val="2105735059"/>
      </c:scatterChart>
      <c:valAx>
        <c:axId val="702426252"/>
        <c:scaling>
          <c:orientation val="minMax"/>
          <c:max val="5.8"/>
          <c:min val="0.8"/>
        </c:scaling>
        <c:delete val="0"/>
        <c:axPos val="b"/>
        <c:title>
          <c:tx>
            <c:rich>
              <a:bodyPr/>
              <a:lstStyle/>
              <a:p>
                <a:pPr>
                  <a:defRPr sz="1250"/>
                </a:pPr>
                <a:r>
                  <a:rPr lang="es-MX" sz="1250"/>
                  <a:t>Volúmenes porosos inyectados (VPI) </a:t>
                </a:r>
              </a:p>
            </c:rich>
          </c:tx>
          <c:layout>
            <c:manualLayout>
              <c:xMode val="edge"/>
              <c:yMode val="edge"/>
              <c:x val="0.28646939201795951"/>
              <c:y val="0.8689015608062524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1100"/>
            </a:pPr>
            <a:endParaRPr lang="en-US"/>
          </a:p>
        </c:txPr>
        <c:crossAx val="2105735059"/>
        <c:crosses val="autoZero"/>
        <c:crossBetween val="midCat"/>
      </c:valAx>
      <c:valAx>
        <c:axId val="2105735059"/>
        <c:scaling>
          <c:orientation val="minMax"/>
          <c:max val="150"/>
          <c:min val="100"/>
        </c:scaling>
        <c:delete val="0"/>
        <c:axPos val="l"/>
        <c:title>
          <c:tx>
            <c:rich>
              <a:bodyPr/>
              <a:lstStyle/>
              <a:p>
                <a:pPr>
                  <a:defRPr sz="1250"/>
                </a:pPr>
                <a:r>
                  <a:rPr lang="es-MX" sz="1250"/>
                  <a:t>Permeabilidad efectiva ko (mD)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1100"/>
            </a:pPr>
            <a:endParaRPr lang="en-US"/>
          </a:p>
        </c:txPr>
        <c:crossAx val="702426252"/>
        <c:crosses val="autoZero"/>
        <c:crossBetween val="midCat"/>
        <c:majorUnit val="10"/>
      </c:valAx>
    </c:plotArea>
    <c:plotVisOnly val="1"/>
    <c:dispBlanksAs val="zero"/>
    <c:showDLblsOverMax val="1"/>
  </c:chart>
  <c:txPr>
    <a:bodyPr/>
    <a:lstStyle/>
    <a:p>
      <a:pPr>
        <a:defRPr sz="1100">
          <a:latin typeface="Arial Nova" panose="020B05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1225640498167"/>
          <c:y val="9.4088238970128732E-2"/>
          <c:w val="0.83207335969880569"/>
          <c:h val="0.73521009873765775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Permeabilidades!$H$8:$H$76</c:f>
              <c:numCache>
                <c:formatCode>General</c:formatCode>
                <c:ptCount val="69"/>
                <c:pt idx="0">
                  <c:v>0</c:v>
                </c:pt>
                <c:pt idx="1">
                  <c:v>0.23534949399858818</c:v>
                </c:pt>
                <c:pt idx="2">
                  <c:v>0.47069898799717635</c:v>
                </c:pt>
                <c:pt idx="3">
                  <c:v>0.70604848199576453</c:v>
                </c:pt>
                <c:pt idx="4">
                  <c:v>0.94139797599435271</c:v>
                </c:pt>
                <c:pt idx="5">
                  <c:v>1.1767474699929408</c:v>
                </c:pt>
                <c:pt idx="6">
                  <c:v>1.4120969639915291</c:v>
                </c:pt>
                <c:pt idx="7">
                  <c:v>1.6474464579901171</c:v>
                </c:pt>
                <c:pt idx="8">
                  <c:v>1.8827959519887054</c:v>
                </c:pt>
                <c:pt idx="9">
                  <c:v>2.1181454459872935</c:v>
                </c:pt>
                <c:pt idx="10">
                  <c:v>2.3534949399858816</c:v>
                </c:pt>
                <c:pt idx="11">
                  <c:v>2.5888444339844701</c:v>
                </c:pt>
                <c:pt idx="12">
                  <c:v>2.8241939279830581</c:v>
                </c:pt>
                <c:pt idx="13">
                  <c:v>3.0595434219816462</c:v>
                </c:pt>
                <c:pt idx="14">
                  <c:v>3.2948929159802343</c:v>
                </c:pt>
                <c:pt idx="15">
                  <c:v>3.5302424099788223</c:v>
                </c:pt>
                <c:pt idx="16">
                  <c:v>3.7655919039774108</c:v>
                </c:pt>
                <c:pt idx="17">
                  <c:v>4.0009413979759989</c:v>
                </c:pt>
                <c:pt idx="18">
                  <c:v>4.236290891974587</c:v>
                </c:pt>
                <c:pt idx="19">
                  <c:v>4.471640385973175</c:v>
                </c:pt>
                <c:pt idx="20">
                  <c:v>4.7069898799717631</c:v>
                </c:pt>
                <c:pt idx="21">
                  <c:v>4.9423393739703512</c:v>
                </c:pt>
                <c:pt idx="22">
                  <c:v>5.1776888679689401</c:v>
                </c:pt>
                <c:pt idx="23">
                  <c:v>5.4130383619675282</c:v>
                </c:pt>
                <c:pt idx="24">
                  <c:v>5.6483878559661163</c:v>
                </c:pt>
                <c:pt idx="26">
                  <c:v>5.8837373499647043</c:v>
                </c:pt>
                <c:pt idx="27">
                  <c:v>6.1190868439632924</c:v>
                </c:pt>
                <c:pt idx="28">
                  <c:v>6.3544363379618805</c:v>
                </c:pt>
                <c:pt idx="29">
                  <c:v>6.5897858319604685</c:v>
                </c:pt>
                <c:pt idx="30">
                  <c:v>6.8251353259590566</c:v>
                </c:pt>
                <c:pt idx="31">
                  <c:v>7.0604848199576447</c:v>
                </c:pt>
                <c:pt idx="32">
                  <c:v>7.2958343139562336</c:v>
                </c:pt>
                <c:pt idx="33">
                  <c:v>7.5311838079548217</c:v>
                </c:pt>
                <c:pt idx="34">
                  <c:v>7.7665333019534097</c:v>
                </c:pt>
                <c:pt idx="35">
                  <c:v>8.0018827959519978</c:v>
                </c:pt>
                <c:pt idx="36">
                  <c:v>8.237232289950585</c:v>
                </c:pt>
                <c:pt idx="37">
                  <c:v>8.4725817839491739</c:v>
                </c:pt>
                <c:pt idx="38">
                  <c:v>8.7079312779477629</c:v>
                </c:pt>
                <c:pt idx="39">
                  <c:v>8.9432807719463501</c:v>
                </c:pt>
                <c:pt idx="40">
                  <c:v>9.178630265944939</c:v>
                </c:pt>
                <c:pt idx="41">
                  <c:v>9.4139797599435262</c:v>
                </c:pt>
                <c:pt idx="42">
                  <c:v>9.6493292539421152</c:v>
                </c:pt>
                <c:pt idx="43">
                  <c:v>9.8846787479407023</c:v>
                </c:pt>
                <c:pt idx="44">
                  <c:v>10.120028241939291</c:v>
                </c:pt>
                <c:pt idx="45">
                  <c:v>10.35537773593788</c:v>
                </c:pt>
                <c:pt idx="46">
                  <c:v>10.590727229936467</c:v>
                </c:pt>
                <c:pt idx="47">
                  <c:v>10.826076723935056</c:v>
                </c:pt>
                <c:pt idx="48">
                  <c:v>11.061426217933644</c:v>
                </c:pt>
                <c:pt idx="49">
                  <c:v>11.296775711932233</c:v>
                </c:pt>
                <c:pt idx="50">
                  <c:v>11.53212520593082</c:v>
                </c:pt>
                <c:pt idx="51">
                  <c:v>11.767474699929409</c:v>
                </c:pt>
                <c:pt idx="52">
                  <c:v>12.002824193927996</c:v>
                </c:pt>
                <c:pt idx="53">
                  <c:v>12.238173687926585</c:v>
                </c:pt>
                <c:pt idx="54">
                  <c:v>12.473523181925174</c:v>
                </c:pt>
                <c:pt idx="55">
                  <c:v>12.708872675923761</c:v>
                </c:pt>
                <c:pt idx="56">
                  <c:v>12.94422216992235</c:v>
                </c:pt>
                <c:pt idx="57">
                  <c:v>13.179571663920937</c:v>
                </c:pt>
                <c:pt idx="58">
                  <c:v>13.414921157919526</c:v>
                </c:pt>
                <c:pt idx="59">
                  <c:v>13.650270651918113</c:v>
                </c:pt>
                <c:pt idx="60">
                  <c:v>13.885620145916702</c:v>
                </c:pt>
                <c:pt idx="61">
                  <c:v>14.120969639915289</c:v>
                </c:pt>
                <c:pt idx="62">
                  <c:v>14.356319133913878</c:v>
                </c:pt>
                <c:pt idx="63">
                  <c:v>14.591668627912467</c:v>
                </c:pt>
                <c:pt idx="64">
                  <c:v>14.827018121911054</c:v>
                </c:pt>
                <c:pt idx="65">
                  <c:v>15.062367615909643</c:v>
                </c:pt>
                <c:pt idx="66">
                  <c:v>15.297717109908231</c:v>
                </c:pt>
                <c:pt idx="67">
                  <c:v>15.533066603906819</c:v>
                </c:pt>
                <c:pt idx="68">
                  <c:v>15.768416097905407</c:v>
                </c:pt>
              </c:numCache>
            </c:numRef>
          </c:xVal>
          <c:yVal>
            <c:numRef>
              <c:f>Permeabilidades!$I$8:$I$76</c:f>
              <c:numCache>
                <c:formatCode>General</c:formatCode>
                <c:ptCount val="69"/>
                <c:pt idx="0">
                  <c:v>5.0402887055084351</c:v>
                </c:pt>
                <c:pt idx="1">
                  <c:v>6.7934326030765861</c:v>
                </c:pt>
                <c:pt idx="2">
                  <c:v>8.5615862942882988</c:v>
                </c:pt>
                <c:pt idx="3">
                  <c:v>10.869492164922535</c:v>
                </c:pt>
                <c:pt idx="4">
                  <c:v>10.162533324927574</c:v>
                </c:pt>
                <c:pt idx="5">
                  <c:v>5.7603299491524966</c:v>
                </c:pt>
                <c:pt idx="6">
                  <c:v>4.0716338728537194</c:v>
                </c:pt>
                <c:pt idx="7">
                  <c:v>3.1645356935850422</c:v>
                </c:pt>
                <c:pt idx="8">
                  <c:v>2.5879743249815568</c:v>
                </c:pt>
                <c:pt idx="9">
                  <c:v>2.204570721280585</c:v>
                </c:pt>
                <c:pt idx="10">
                  <c:v>1.8996832811034827</c:v>
                </c:pt>
                <c:pt idx="11">
                  <c:v>1.7053091391079014</c:v>
                </c:pt>
                <c:pt idx="12">
                  <c:v>1.6212601802413642</c:v>
                </c:pt>
                <c:pt idx="13">
                  <c:v>1.5903201004657657</c:v>
                </c:pt>
                <c:pt idx="14">
                  <c:v>1.5723164766869078</c:v>
                </c:pt>
                <c:pt idx="15">
                  <c:v>1.5566520535069635</c:v>
                </c:pt>
                <c:pt idx="16">
                  <c:v>1.5431995048964096</c:v>
                </c:pt>
                <c:pt idx="17">
                  <c:v>1.5318524497133479</c:v>
                </c:pt>
                <c:pt idx="18">
                  <c:v>1.522523263052487</c:v>
                </c:pt>
                <c:pt idx="19">
                  <c:v>1.5169800958326356</c:v>
                </c:pt>
                <c:pt idx="20">
                  <c:v>1.5114771450617797</c:v>
                </c:pt>
                <c:pt idx="21">
                  <c:v>1.506013974657942</c:v>
                </c:pt>
                <c:pt idx="22">
                  <c:v>1.5023937487573218</c:v>
                </c:pt>
                <c:pt idx="23">
                  <c:v>1.4987908860504697</c:v>
                </c:pt>
                <c:pt idx="24">
                  <c:v>1.4952052619211624</c:v>
                </c:pt>
                <c:pt idx="26">
                  <c:v>1.4916367529428303</c:v>
                </c:pt>
                <c:pt idx="27">
                  <c:v>1.4880852368643949</c:v>
                </c:pt>
                <c:pt idx="28">
                  <c:v>1.4845505925963085</c:v>
                </c:pt>
                <c:pt idx="29">
                  <c:v>1.4827895598648775</c:v>
                </c:pt>
                <c:pt idx="30">
                  <c:v>1.4792799987764398</c:v>
                </c:pt>
                <c:pt idx="31">
                  <c:v>1.4757870117663421</c:v>
                </c:pt>
                <c:pt idx="32">
                  <c:v>1.474046696893976</c:v>
                </c:pt>
                <c:pt idx="33">
                  <c:v>1.4705783517248137</c:v>
                </c:pt>
                <c:pt idx="34">
                  <c:v>1.4688502925570996</c:v>
                </c:pt>
                <c:pt idx="35">
                  <c:v>1.4671262898663047</c:v>
                </c:pt>
                <c:pt idx="36">
                  <c:v>1.4654063293858051</c:v>
                </c:pt>
                <c:pt idx="37">
                  <c:v>1.4636903969157982</c:v>
                </c:pt>
                <c:pt idx="38">
                  <c:v>1.4619784783229142</c:v>
                </c:pt>
                <c:pt idx="39">
                  <c:v>1.4602705595398269</c:v>
                </c:pt>
                <c:pt idx="40">
                  <c:v>1.4585666265648678</c:v>
                </c:pt>
                <c:pt idx="41">
                  <c:v>1.4568666654616456</c:v>
                </c:pt>
                <c:pt idx="42">
                  <c:v>1.4551706623586631</c:v>
                </c:pt>
                <c:pt idx="43">
                  <c:v>1.4550012792062528</c:v>
                </c:pt>
                <c:pt idx="44">
                  <c:v>1.4534786034489438</c:v>
                </c:pt>
                <c:pt idx="45">
                  <c:v>1.4517904749896537</c:v>
                </c:pt>
                <c:pt idx="46">
                  <c:v>1.4501062633017303</c:v>
                </c:pt>
                <c:pt idx="47">
                  <c:v>1.4484259547695155</c:v>
                </c:pt>
                <c:pt idx="48">
                  <c:v>1.4467495358403837</c:v>
                </c:pt>
                <c:pt idx="49">
                  <c:v>1.4450769930243836</c:v>
                </c:pt>
                <c:pt idx="50">
                  <c:v>1.4434083128938704</c:v>
                </c:pt>
                <c:pt idx="51">
                  <c:v>1.443241656813407</c:v>
                </c:pt>
                <c:pt idx="52">
                  <c:v>1.4417434820831507</c:v>
                </c:pt>
                <c:pt idx="53">
                  <c:v>1.441577210201928</c:v>
                </c:pt>
                <c:pt idx="54">
                  <c:v>1.4400824872881242</c:v>
                </c:pt>
                <c:pt idx="55">
                  <c:v>1.4384253152659281</c:v>
                </c:pt>
                <c:pt idx="56">
                  <c:v>1.4367719528345881</c:v>
                </c:pt>
                <c:pt idx="57">
                  <c:v>1.4351223868726657</c:v>
                </c:pt>
                <c:pt idx="58">
                  <c:v>1.4349576385789138</c:v>
                </c:pt>
                <c:pt idx="59">
                  <c:v>1.4347929281061658</c:v>
                </c:pt>
                <c:pt idx="60">
                  <c:v>1.4334766043189124</c:v>
                </c:pt>
                <c:pt idx="61">
                  <c:v>1.433312233649916</c:v>
                </c:pt>
                <c:pt idx="62">
                  <c:v>1.4334766043189124</c:v>
                </c:pt>
                <c:pt idx="63">
                  <c:v>1.4318345921719264</c:v>
                </c:pt>
                <c:pt idx="64">
                  <c:v>1.4316705978308233</c:v>
                </c:pt>
                <c:pt idx="65">
                  <c:v>1.4301963374898075</c:v>
                </c:pt>
                <c:pt idx="66">
                  <c:v>1.4300327181856674</c:v>
                </c:pt>
                <c:pt idx="67">
                  <c:v>1.4301963374898075</c:v>
                </c:pt>
                <c:pt idx="68">
                  <c:v>1.4285618273898191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21-4A2B-9621-8A5037387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1544886"/>
        <c:axId val="1280506027"/>
      </c:scatterChart>
      <c:valAx>
        <c:axId val="1721544886"/>
        <c:scaling>
          <c:orientation val="minMax"/>
          <c:max val="11.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s-MX" sz="1100"/>
                  <a:t>Volúmenes porosos inyectados (VPI)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crossAx val="1280506027"/>
        <c:crosses val="autoZero"/>
        <c:crossBetween val="midCat"/>
      </c:valAx>
      <c:valAx>
        <c:axId val="1280506027"/>
        <c:scaling>
          <c:orientation val="minMax"/>
          <c:max val="11.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/>
                </a:pPr>
                <a:r>
                  <a:rPr lang="es-MX" sz="1100"/>
                  <a:t>Permeabilidad efectiva kw (mD)</a:t>
                </a:r>
              </a:p>
            </c:rich>
          </c:tx>
          <c:layout>
            <c:manualLayout>
              <c:xMode val="edge"/>
              <c:yMode val="edge"/>
              <c:x val="1.3862694383588059E-2"/>
              <c:y val="0.1059338888328405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crossAx val="1721544886"/>
        <c:crosses val="autoZero"/>
        <c:crossBetween val="midCat"/>
      </c:valAx>
    </c:plotArea>
    <c:plotVisOnly val="1"/>
    <c:dispBlanksAs val="zero"/>
    <c:showDLblsOverMax val="1"/>
  </c:chart>
  <c:txPr>
    <a:bodyPr/>
    <a:lstStyle/>
    <a:p>
      <a:pPr>
        <a:defRPr sz="1100">
          <a:latin typeface="Arial Nova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Permeabilidades!$B$11:$B$32</c:f>
              <c:numCache>
                <c:formatCode>General</c:formatCode>
                <c:ptCount val="22"/>
                <c:pt idx="0">
                  <c:v>0.94139797599435271</c:v>
                </c:pt>
                <c:pt idx="1">
                  <c:v>1.1767474699929408</c:v>
                </c:pt>
                <c:pt idx="2">
                  <c:v>1.4120969639915291</c:v>
                </c:pt>
                <c:pt idx="3">
                  <c:v>1.6474464579901171</c:v>
                </c:pt>
                <c:pt idx="4">
                  <c:v>1.8827959519887054</c:v>
                </c:pt>
                <c:pt idx="5">
                  <c:v>2.1181454459872935</c:v>
                </c:pt>
                <c:pt idx="6">
                  <c:v>2.3534949399858816</c:v>
                </c:pt>
                <c:pt idx="7">
                  <c:v>2.5888444339844701</c:v>
                </c:pt>
                <c:pt idx="8">
                  <c:v>2.8241939279830581</c:v>
                </c:pt>
                <c:pt idx="9">
                  <c:v>3.0595434219816462</c:v>
                </c:pt>
                <c:pt idx="10">
                  <c:v>3.2948929159802343</c:v>
                </c:pt>
                <c:pt idx="11">
                  <c:v>3.5302424099788223</c:v>
                </c:pt>
                <c:pt idx="12">
                  <c:v>3.7655919039774108</c:v>
                </c:pt>
                <c:pt idx="13">
                  <c:v>4.0009413979759989</c:v>
                </c:pt>
                <c:pt idx="14">
                  <c:v>4.236290891974587</c:v>
                </c:pt>
                <c:pt idx="15">
                  <c:v>4.471640385973175</c:v>
                </c:pt>
                <c:pt idx="16">
                  <c:v>4.7069898799717631</c:v>
                </c:pt>
                <c:pt idx="17">
                  <c:v>4.9423393739703512</c:v>
                </c:pt>
                <c:pt idx="18">
                  <c:v>5.1776888679689401</c:v>
                </c:pt>
                <c:pt idx="19">
                  <c:v>5.4130383619675282</c:v>
                </c:pt>
                <c:pt idx="20">
                  <c:v>5.6483878559661163</c:v>
                </c:pt>
                <c:pt idx="21">
                  <c:v>5.8837373499647043</c:v>
                </c:pt>
              </c:numCache>
            </c:numRef>
          </c:xVal>
          <c:yVal>
            <c:numRef>
              <c:f>Permeabilidades!$C$11:$C$32</c:f>
              <c:numCache>
                <c:formatCode>General</c:formatCode>
                <c:ptCount val="22"/>
                <c:pt idx="0">
                  <c:v>56.053434931214873</c:v>
                </c:pt>
                <c:pt idx="1">
                  <c:v>54.347460824612689</c:v>
                </c:pt>
                <c:pt idx="2">
                  <c:v>50.812666624637878</c:v>
                </c:pt>
                <c:pt idx="3">
                  <c:v>48.827796834612961</c:v>
                </c:pt>
                <c:pt idx="4">
                  <c:v>45.787238057365997</c:v>
                </c:pt>
                <c:pt idx="5">
                  <c:v>44.325943225747935</c:v>
                </c:pt>
                <c:pt idx="6">
                  <c:v>42.95503776515779</c:v>
                </c:pt>
                <c:pt idx="7">
                  <c:v>42.087259224447529</c:v>
                </c:pt>
                <c:pt idx="8">
                  <c:v>40.716338728537195</c:v>
                </c:pt>
                <c:pt idx="9">
                  <c:v>39.55669616981303</c:v>
                </c:pt>
                <c:pt idx="10">
                  <c:v>38.819614874723342</c:v>
                </c:pt>
                <c:pt idx="11">
                  <c:v>38.226042781837663</c:v>
                </c:pt>
                <c:pt idx="12">
                  <c:v>37.424898172637477</c:v>
                </c:pt>
                <c:pt idx="13">
                  <c:v>37.091738841723789</c:v>
                </c:pt>
                <c:pt idx="14">
                  <c:v>36.656645130970432</c:v>
                </c:pt>
                <c:pt idx="15">
                  <c:v>36.3369650862236</c:v>
                </c:pt>
                <c:pt idx="16">
                  <c:v>36.126924825609592</c:v>
                </c:pt>
                <c:pt idx="17">
                  <c:v>35.919298820864711</c:v>
                </c:pt>
                <c:pt idx="18">
                  <c:v>35.816378193870825</c:v>
                </c:pt>
                <c:pt idx="19">
                  <c:v>35.714045684745479</c:v>
                </c:pt>
                <c:pt idx="20">
                  <c:v>35.612296266840225</c:v>
                </c:pt>
                <c:pt idx="21">
                  <c:v>35.211030956791319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AA-43DB-BACE-2ABB2FA8E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901295"/>
        <c:axId val="2132511511"/>
      </c:scatterChart>
      <c:valAx>
        <c:axId val="1010901295"/>
        <c:scaling>
          <c:orientation val="minMax"/>
          <c:max val="6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b="1" i="0">
                    <a:solidFill>
                      <a:srgbClr val="000000"/>
                    </a:solidFill>
                    <a:latin typeface="+mn-lt"/>
                  </a:rPr>
                  <a:t>Volúmenes porosos inyectados (VPI)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32511511"/>
        <c:crosses val="autoZero"/>
        <c:crossBetween val="midCat"/>
      </c:valAx>
      <c:valAx>
        <c:axId val="2132511511"/>
        <c:scaling>
          <c:orientation val="minMax"/>
          <c:max val="57"/>
        </c:scaling>
        <c:delete val="0"/>
        <c:axPos val="l"/>
        <c:title>
          <c:tx>
            <c:rich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b="1" i="0">
                    <a:solidFill>
                      <a:srgbClr val="000000"/>
                    </a:solidFill>
                    <a:latin typeface="+mn-lt"/>
                  </a:rPr>
                  <a:t>Permeabilidad absoluta k (mD)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10901295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lang="es-MX" b="1" i="0">
                <a:solidFill>
                  <a:srgbClr val="757575"/>
                </a:solidFill>
                <a:latin typeface="+mn-lt"/>
              </a:rPr>
              <a:t>Permeabilidad efectiva del aceite ko a Swr</a:t>
            </a:r>
          </a:p>
        </c:rich>
      </c:tx>
      <c:layout>
        <c:manualLayout>
          <c:xMode val="edge"/>
          <c:yMode val="edge"/>
          <c:x val="0.18171124920905368"/>
          <c:y val="4.3405344052288741E-2"/>
        </c:manualLayout>
      </c:layout>
      <c:overlay val="0"/>
    </c:title>
    <c:autoTitleDeleted val="0"/>
    <c:plotArea>
      <c:layout>
        <c:manualLayout>
          <c:xMode val="edge"/>
          <c:yMode val="edge"/>
          <c:x val="0.16430310082491165"/>
          <c:y val="0.18718913485630267"/>
          <c:w val="0.76900702136951815"/>
          <c:h val="0.6150776494263146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Permeabilidades!$E$11:$E$31</c:f>
              <c:numCache>
                <c:formatCode>General</c:formatCode>
                <c:ptCount val="21"/>
                <c:pt idx="0">
                  <c:v>0.94139797599435271</c:v>
                </c:pt>
                <c:pt idx="1">
                  <c:v>1.1767474699929408</c:v>
                </c:pt>
                <c:pt idx="2">
                  <c:v>1.4120969639915291</c:v>
                </c:pt>
                <c:pt idx="3">
                  <c:v>1.6474464579901171</c:v>
                </c:pt>
                <c:pt idx="4">
                  <c:v>1.8827959519887054</c:v>
                </c:pt>
                <c:pt idx="5">
                  <c:v>2.1181454459872935</c:v>
                </c:pt>
                <c:pt idx="6">
                  <c:v>2.3534949399858816</c:v>
                </c:pt>
                <c:pt idx="7">
                  <c:v>2.5888444339844701</c:v>
                </c:pt>
                <c:pt idx="8">
                  <c:v>2.8241939279830581</c:v>
                </c:pt>
                <c:pt idx="9">
                  <c:v>3.0595434219816462</c:v>
                </c:pt>
                <c:pt idx="10">
                  <c:v>3.2948929159802343</c:v>
                </c:pt>
                <c:pt idx="11">
                  <c:v>3.5302424099788223</c:v>
                </c:pt>
                <c:pt idx="12">
                  <c:v>3.7655919039774108</c:v>
                </c:pt>
                <c:pt idx="13">
                  <c:v>4.0009413979759989</c:v>
                </c:pt>
                <c:pt idx="14">
                  <c:v>4.236290891974587</c:v>
                </c:pt>
                <c:pt idx="15">
                  <c:v>4.471640385973175</c:v>
                </c:pt>
                <c:pt idx="16">
                  <c:v>4.7069898799717631</c:v>
                </c:pt>
                <c:pt idx="17">
                  <c:v>4.9423393739703512</c:v>
                </c:pt>
                <c:pt idx="18">
                  <c:v>5.1776888679689401</c:v>
                </c:pt>
                <c:pt idx="19">
                  <c:v>5.4130383619675282</c:v>
                </c:pt>
                <c:pt idx="20">
                  <c:v>5.6483878559661163</c:v>
                </c:pt>
              </c:numCache>
            </c:numRef>
          </c:xVal>
          <c:yVal>
            <c:numRef>
              <c:f>Permeabilidades!$F$11:$F$31</c:f>
              <c:numCache>
                <c:formatCode>General</c:formatCode>
                <c:ptCount val="21"/>
                <c:pt idx="0">
                  <c:v>107.92706113521984</c:v>
                </c:pt>
                <c:pt idx="1">
                  <c:v>105.12161765005358</c:v>
                </c:pt>
                <c:pt idx="2">
                  <c:v>108.95330894316172</c:v>
                </c:pt>
                <c:pt idx="3">
                  <c:v>114.58256323855841</c:v>
                </c:pt>
                <c:pt idx="4">
                  <c:v>119.98174161105594</c:v>
                </c:pt>
                <c:pt idx="5">
                  <c:v>124.09663888652537</c:v>
                </c:pt>
                <c:pt idx="6">
                  <c:v>127.55016315980528</c:v>
                </c:pt>
                <c:pt idx="7">
                  <c:v>130.20745822563458</c:v>
                </c:pt>
                <c:pt idx="8">
                  <c:v>133.23553864948653</c:v>
                </c:pt>
                <c:pt idx="9">
                  <c:v>134.53921319595901</c:v>
                </c:pt>
                <c:pt idx="10">
                  <c:v>136.40781337923622</c:v>
                </c:pt>
                <c:pt idx="11">
                  <c:v>138.05128101031133</c:v>
                </c:pt>
                <c:pt idx="12">
                  <c:v>139.73483321775416</c:v>
                </c:pt>
                <c:pt idx="13">
                  <c:v>141.16948242943542</c:v>
                </c:pt>
                <c:pt idx="14">
                  <c:v>142.3385878739856</c:v>
                </c:pt>
                <c:pt idx="15">
                  <c:v>143.82748523668423</c:v>
                </c:pt>
                <c:pt idx="16">
                  <c:v>145.04121928931445</c:v>
                </c:pt>
                <c:pt idx="17">
                  <c:v>146.27561264496819</c:v>
                </c:pt>
                <c:pt idx="18">
                  <c:v>146.90072210071594</c:v>
                </c:pt>
                <c:pt idx="19">
                  <c:v>147.84846869491406</c:v>
                </c:pt>
                <c:pt idx="20">
                  <c:v>148.80852368643949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C1-4872-90AC-8A9427CCC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2426252"/>
        <c:axId val="2105735059"/>
      </c:scatterChart>
      <c:valAx>
        <c:axId val="702426252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b="1" i="0">
                    <a:solidFill>
                      <a:srgbClr val="000000"/>
                    </a:solidFill>
                    <a:latin typeface="+mn-lt"/>
                  </a:rPr>
                  <a:t>Volúmenes porosos inyectados</a:t>
                </a:r>
              </a:p>
            </c:rich>
          </c:tx>
          <c:layout>
            <c:manualLayout>
              <c:xMode val="edge"/>
              <c:yMode val="edge"/>
              <c:x val="0.32912451606836324"/>
              <c:y val="0.8965073052561137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05735059"/>
        <c:crosses val="autoZero"/>
        <c:crossBetween val="midCat"/>
      </c:valAx>
      <c:valAx>
        <c:axId val="2105735059"/>
        <c:scaling>
          <c:orientation val="minMax"/>
          <c:max val="150"/>
        </c:scaling>
        <c:delete val="0"/>
        <c:axPos val="l"/>
        <c:title>
          <c:tx>
            <c:rich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b="1" i="0">
                    <a:solidFill>
                      <a:srgbClr val="000000"/>
                    </a:solidFill>
                    <a:latin typeface="+mn-lt"/>
                  </a:rPr>
                  <a:t>Permeabilidad efectiva ko (mD)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02426252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xMode val="edge"/>
          <c:yMode val="edge"/>
          <c:x val="0.11785580450512355"/>
          <c:y val="9.3654431219029374E-2"/>
          <c:w val="0.84322665675374264"/>
          <c:h val="0.78986665577473369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Permeabilidades!$H$8:$H$76</c:f>
              <c:numCache>
                <c:formatCode>General</c:formatCode>
                <c:ptCount val="69"/>
                <c:pt idx="0">
                  <c:v>0</c:v>
                </c:pt>
                <c:pt idx="1">
                  <c:v>0.23534949399858818</c:v>
                </c:pt>
                <c:pt idx="2">
                  <c:v>0.47069898799717635</c:v>
                </c:pt>
                <c:pt idx="3">
                  <c:v>0.70604848199576453</c:v>
                </c:pt>
                <c:pt idx="4">
                  <c:v>0.94139797599435271</c:v>
                </c:pt>
                <c:pt idx="5">
                  <c:v>1.1767474699929408</c:v>
                </c:pt>
                <c:pt idx="6">
                  <c:v>1.4120969639915291</c:v>
                </c:pt>
                <c:pt idx="7">
                  <c:v>1.6474464579901171</c:v>
                </c:pt>
                <c:pt idx="8">
                  <c:v>1.8827959519887054</c:v>
                </c:pt>
                <c:pt idx="9">
                  <c:v>2.1181454459872935</c:v>
                </c:pt>
                <c:pt idx="10">
                  <c:v>2.3534949399858816</c:v>
                </c:pt>
                <c:pt idx="11">
                  <c:v>2.5888444339844701</c:v>
                </c:pt>
                <c:pt idx="12">
                  <c:v>2.8241939279830581</c:v>
                </c:pt>
                <c:pt idx="13">
                  <c:v>3.0595434219816462</c:v>
                </c:pt>
                <c:pt idx="14">
                  <c:v>3.2948929159802343</c:v>
                </c:pt>
                <c:pt idx="15">
                  <c:v>3.5302424099788223</c:v>
                </c:pt>
                <c:pt idx="16">
                  <c:v>3.7655919039774108</c:v>
                </c:pt>
                <c:pt idx="17">
                  <c:v>4.0009413979759989</c:v>
                </c:pt>
                <c:pt idx="18">
                  <c:v>4.236290891974587</c:v>
                </c:pt>
                <c:pt idx="19">
                  <c:v>4.471640385973175</c:v>
                </c:pt>
                <c:pt idx="20">
                  <c:v>4.7069898799717631</c:v>
                </c:pt>
                <c:pt idx="21">
                  <c:v>4.9423393739703512</c:v>
                </c:pt>
                <c:pt idx="22">
                  <c:v>5.1776888679689401</c:v>
                </c:pt>
                <c:pt idx="23">
                  <c:v>5.4130383619675282</c:v>
                </c:pt>
                <c:pt idx="24">
                  <c:v>5.6483878559661163</c:v>
                </c:pt>
                <c:pt idx="26">
                  <c:v>5.8837373499647043</c:v>
                </c:pt>
                <c:pt idx="27">
                  <c:v>6.1190868439632924</c:v>
                </c:pt>
                <c:pt idx="28">
                  <c:v>6.3544363379618805</c:v>
                </c:pt>
                <c:pt idx="29">
                  <c:v>6.5897858319604685</c:v>
                </c:pt>
                <c:pt idx="30">
                  <c:v>6.8251353259590566</c:v>
                </c:pt>
                <c:pt idx="31">
                  <c:v>7.0604848199576447</c:v>
                </c:pt>
                <c:pt idx="32">
                  <c:v>7.2958343139562336</c:v>
                </c:pt>
                <c:pt idx="33">
                  <c:v>7.5311838079548217</c:v>
                </c:pt>
                <c:pt idx="34">
                  <c:v>7.7665333019534097</c:v>
                </c:pt>
                <c:pt idx="35">
                  <c:v>8.0018827959519978</c:v>
                </c:pt>
                <c:pt idx="36">
                  <c:v>8.237232289950585</c:v>
                </c:pt>
                <c:pt idx="37">
                  <c:v>8.4725817839491739</c:v>
                </c:pt>
                <c:pt idx="38">
                  <c:v>8.7079312779477629</c:v>
                </c:pt>
                <c:pt idx="39">
                  <c:v>8.9432807719463501</c:v>
                </c:pt>
                <c:pt idx="40">
                  <c:v>9.178630265944939</c:v>
                </c:pt>
                <c:pt idx="41">
                  <c:v>9.4139797599435262</c:v>
                </c:pt>
                <c:pt idx="42">
                  <c:v>9.6493292539421152</c:v>
                </c:pt>
                <c:pt idx="43">
                  <c:v>9.8846787479407023</c:v>
                </c:pt>
                <c:pt idx="44">
                  <c:v>10.120028241939291</c:v>
                </c:pt>
                <c:pt idx="45">
                  <c:v>10.35537773593788</c:v>
                </c:pt>
                <c:pt idx="46">
                  <c:v>10.590727229936467</c:v>
                </c:pt>
                <c:pt idx="47">
                  <c:v>10.826076723935056</c:v>
                </c:pt>
                <c:pt idx="48">
                  <c:v>11.061426217933644</c:v>
                </c:pt>
                <c:pt idx="49">
                  <c:v>11.296775711932233</c:v>
                </c:pt>
                <c:pt idx="50">
                  <c:v>11.53212520593082</c:v>
                </c:pt>
                <c:pt idx="51">
                  <c:v>11.767474699929409</c:v>
                </c:pt>
                <c:pt idx="52">
                  <c:v>12.002824193927996</c:v>
                </c:pt>
                <c:pt idx="53">
                  <c:v>12.238173687926585</c:v>
                </c:pt>
                <c:pt idx="54">
                  <c:v>12.473523181925174</c:v>
                </c:pt>
                <c:pt idx="55">
                  <c:v>12.708872675923761</c:v>
                </c:pt>
                <c:pt idx="56">
                  <c:v>12.94422216992235</c:v>
                </c:pt>
                <c:pt idx="57">
                  <c:v>13.179571663920937</c:v>
                </c:pt>
                <c:pt idx="58">
                  <c:v>13.414921157919526</c:v>
                </c:pt>
                <c:pt idx="59">
                  <c:v>13.650270651918113</c:v>
                </c:pt>
                <c:pt idx="60">
                  <c:v>13.885620145916702</c:v>
                </c:pt>
                <c:pt idx="61">
                  <c:v>14.120969639915289</c:v>
                </c:pt>
                <c:pt idx="62">
                  <c:v>14.356319133913878</c:v>
                </c:pt>
                <c:pt idx="63">
                  <c:v>14.591668627912467</c:v>
                </c:pt>
                <c:pt idx="64">
                  <c:v>14.827018121911054</c:v>
                </c:pt>
                <c:pt idx="65">
                  <c:v>15.062367615909643</c:v>
                </c:pt>
                <c:pt idx="66">
                  <c:v>15.297717109908231</c:v>
                </c:pt>
                <c:pt idx="67">
                  <c:v>15.533066603906819</c:v>
                </c:pt>
                <c:pt idx="68">
                  <c:v>15.768416097905407</c:v>
                </c:pt>
              </c:numCache>
            </c:numRef>
          </c:xVal>
          <c:yVal>
            <c:numRef>
              <c:f>Permeabilidades!$I$8:$I$76</c:f>
              <c:numCache>
                <c:formatCode>General</c:formatCode>
                <c:ptCount val="69"/>
                <c:pt idx="0">
                  <c:v>5.0402887055084351</c:v>
                </c:pt>
                <c:pt idx="1">
                  <c:v>6.7934326030765861</c:v>
                </c:pt>
                <c:pt idx="2">
                  <c:v>8.5615862942882988</c:v>
                </c:pt>
                <c:pt idx="3">
                  <c:v>10.869492164922535</c:v>
                </c:pt>
                <c:pt idx="4">
                  <c:v>10.162533324927574</c:v>
                </c:pt>
                <c:pt idx="5">
                  <c:v>5.7603299491524966</c:v>
                </c:pt>
                <c:pt idx="6">
                  <c:v>4.0716338728537194</c:v>
                </c:pt>
                <c:pt idx="7">
                  <c:v>3.1645356935850422</c:v>
                </c:pt>
                <c:pt idx="8">
                  <c:v>2.5879743249815568</c:v>
                </c:pt>
                <c:pt idx="9">
                  <c:v>2.204570721280585</c:v>
                </c:pt>
                <c:pt idx="10">
                  <c:v>1.8996832811034827</c:v>
                </c:pt>
                <c:pt idx="11">
                  <c:v>1.7053091391079014</c:v>
                </c:pt>
                <c:pt idx="12">
                  <c:v>1.6212601802413642</c:v>
                </c:pt>
                <c:pt idx="13">
                  <c:v>1.5903201004657657</c:v>
                </c:pt>
                <c:pt idx="14">
                  <c:v>1.5723164766869078</c:v>
                </c:pt>
                <c:pt idx="15">
                  <c:v>1.5566520535069635</c:v>
                </c:pt>
                <c:pt idx="16">
                  <c:v>1.5431995048964096</c:v>
                </c:pt>
                <c:pt idx="17">
                  <c:v>1.5318524497133479</c:v>
                </c:pt>
                <c:pt idx="18">
                  <c:v>1.522523263052487</c:v>
                </c:pt>
                <c:pt idx="19">
                  <c:v>1.5169800958326356</c:v>
                </c:pt>
                <c:pt idx="20">
                  <c:v>1.5114771450617797</c:v>
                </c:pt>
                <c:pt idx="21">
                  <c:v>1.506013974657942</c:v>
                </c:pt>
                <c:pt idx="22">
                  <c:v>1.5023937487573218</c:v>
                </c:pt>
                <c:pt idx="23">
                  <c:v>1.4987908860504697</c:v>
                </c:pt>
                <c:pt idx="24">
                  <c:v>1.4952052619211624</c:v>
                </c:pt>
                <c:pt idx="26">
                  <c:v>1.4916367529428303</c:v>
                </c:pt>
                <c:pt idx="27">
                  <c:v>1.4880852368643949</c:v>
                </c:pt>
                <c:pt idx="28">
                  <c:v>1.4845505925963085</c:v>
                </c:pt>
                <c:pt idx="29">
                  <c:v>1.4827895598648775</c:v>
                </c:pt>
                <c:pt idx="30">
                  <c:v>1.4792799987764398</c:v>
                </c:pt>
                <c:pt idx="31">
                  <c:v>1.4757870117663421</c:v>
                </c:pt>
                <c:pt idx="32">
                  <c:v>1.474046696893976</c:v>
                </c:pt>
                <c:pt idx="33">
                  <c:v>1.4705783517248137</c:v>
                </c:pt>
                <c:pt idx="34">
                  <c:v>1.4688502925570996</c:v>
                </c:pt>
                <c:pt idx="35">
                  <c:v>1.4671262898663047</c:v>
                </c:pt>
                <c:pt idx="36">
                  <c:v>1.4654063293858051</c:v>
                </c:pt>
                <c:pt idx="37">
                  <c:v>1.4636903969157982</c:v>
                </c:pt>
                <c:pt idx="38">
                  <c:v>1.4619784783229142</c:v>
                </c:pt>
                <c:pt idx="39">
                  <c:v>1.4602705595398269</c:v>
                </c:pt>
                <c:pt idx="40">
                  <c:v>1.4585666265648678</c:v>
                </c:pt>
                <c:pt idx="41">
                  <c:v>1.4568666654616456</c:v>
                </c:pt>
                <c:pt idx="42">
                  <c:v>1.4551706623586631</c:v>
                </c:pt>
                <c:pt idx="43">
                  <c:v>1.4550012792062528</c:v>
                </c:pt>
                <c:pt idx="44">
                  <c:v>1.4534786034489438</c:v>
                </c:pt>
                <c:pt idx="45">
                  <c:v>1.4517904749896537</c:v>
                </c:pt>
                <c:pt idx="46">
                  <c:v>1.4501062633017303</c:v>
                </c:pt>
                <c:pt idx="47">
                  <c:v>1.4484259547695155</c:v>
                </c:pt>
                <c:pt idx="48">
                  <c:v>1.4467495358403837</c:v>
                </c:pt>
                <c:pt idx="49">
                  <c:v>1.4450769930243836</c:v>
                </c:pt>
                <c:pt idx="50">
                  <c:v>1.4434083128938704</c:v>
                </c:pt>
                <c:pt idx="51">
                  <c:v>1.443241656813407</c:v>
                </c:pt>
                <c:pt idx="52">
                  <c:v>1.4417434820831507</c:v>
                </c:pt>
                <c:pt idx="53">
                  <c:v>1.441577210201928</c:v>
                </c:pt>
                <c:pt idx="54">
                  <c:v>1.4400824872881242</c:v>
                </c:pt>
                <c:pt idx="55">
                  <c:v>1.4384253152659281</c:v>
                </c:pt>
                <c:pt idx="56">
                  <c:v>1.4367719528345881</c:v>
                </c:pt>
                <c:pt idx="57">
                  <c:v>1.4351223868726657</c:v>
                </c:pt>
                <c:pt idx="58">
                  <c:v>1.4349576385789138</c:v>
                </c:pt>
                <c:pt idx="59">
                  <c:v>1.4347929281061658</c:v>
                </c:pt>
                <c:pt idx="60">
                  <c:v>1.4334766043189124</c:v>
                </c:pt>
                <c:pt idx="61">
                  <c:v>1.433312233649916</c:v>
                </c:pt>
                <c:pt idx="62">
                  <c:v>1.4334766043189124</c:v>
                </c:pt>
                <c:pt idx="63">
                  <c:v>1.4318345921719264</c:v>
                </c:pt>
                <c:pt idx="64">
                  <c:v>1.4316705978308233</c:v>
                </c:pt>
                <c:pt idx="65">
                  <c:v>1.4301963374898075</c:v>
                </c:pt>
                <c:pt idx="66">
                  <c:v>1.4300327181856674</c:v>
                </c:pt>
                <c:pt idx="67">
                  <c:v>1.4301963374898075</c:v>
                </c:pt>
                <c:pt idx="68">
                  <c:v>1.4285618273898191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44-4C19-AD8C-57F49EC9F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1544886"/>
        <c:axId val="1280506027"/>
      </c:scatterChart>
      <c:valAx>
        <c:axId val="1721544886"/>
        <c:scaling>
          <c:orientation val="minMax"/>
          <c:max val="11.5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b="1" i="0">
                    <a:solidFill>
                      <a:srgbClr val="000000"/>
                    </a:solidFill>
                    <a:latin typeface="+mn-lt"/>
                  </a:rPr>
                  <a:t>Volúmenes porosos inyectados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80506027"/>
        <c:crosses val="autoZero"/>
        <c:crossBetween val="midCat"/>
      </c:valAx>
      <c:valAx>
        <c:axId val="1280506027"/>
        <c:scaling>
          <c:orientation val="minMax"/>
          <c:max val="11.5"/>
        </c:scaling>
        <c:delete val="0"/>
        <c:axPos val="l"/>
        <c:title>
          <c:tx>
            <c:rich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b="1" i="0">
                    <a:solidFill>
                      <a:srgbClr val="000000"/>
                    </a:solidFill>
                    <a:latin typeface="+mn-lt"/>
                  </a:rPr>
                  <a:t>Permeabilidad efectiva kw (mD)</a:t>
                </a:r>
              </a:p>
            </c:rich>
          </c:tx>
          <c:layout>
            <c:manualLayout>
              <c:xMode val="edge"/>
              <c:yMode val="edge"/>
              <c:x val="2.4439913307800074E-2"/>
              <c:y val="0.216106216420593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21544886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500"/>
            </a:pPr>
            <a:r>
              <a:rPr lang="es-MX" sz="1500"/>
              <a:t>Ajuste lineal</a:t>
            </a:r>
            <a:r>
              <a:rPr lang="es-MX" sz="1500" baseline="0"/>
              <a:t> permeabilidad relativa</a:t>
            </a:r>
            <a:endParaRPr lang="es-MX" sz="1500"/>
          </a:p>
        </c:rich>
      </c:tx>
      <c:layout>
        <c:manualLayout>
          <c:xMode val="edge"/>
          <c:yMode val="edge"/>
          <c:x val="0.27477376119690977"/>
          <c:y val="4.51807228915662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82702397827039"/>
          <c:y val="0.1213868326339447"/>
          <c:w val="0.83620028646277844"/>
          <c:h val="0.7158782697073045"/>
        </c:manualLayout>
      </c:layout>
      <c:scatterChart>
        <c:scatterStyle val="lineMarker"/>
        <c:varyColors val="1"/>
        <c:ser>
          <c:idx val="0"/>
          <c:order val="0"/>
          <c:tx>
            <c:v>kr agua</c:v>
          </c:tx>
          <c:spPr>
            <a:ln w="28575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trendline>
            <c:spPr>
              <a:ln w="22225">
                <a:solidFill>
                  <a:schemeClr val="accent1"/>
                </a:solidFill>
              </a:ln>
            </c:spPr>
            <c:trendlineType val="linear"/>
            <c:dispRSqr val="0"/>
            <c:dispEq val="0"/>
          </c:trendline>
          <c:xVal>
            <c:numRef>
              <c:f>'Curva kr'!$M$12:$M$17</c:f>
              <c:numCache>
                <c:formatCode>0.0000</c:formatCode>
                <c:ptCount val="6"/>
                <c:pt idx="0">
                  <c:v>0.41331662048528728</c:v>
                </c:pt>
                <c:pt idx="1">
                  <c:v>0.82542167669779676</c:v>
                </c:pt>
                <c:pt idx="2">
                  <c:v>0.8595582861602109</c:v>
                </c:pt>
                <c:pt idx="3">
                  <c:v>0.87211043121257292</c:v>
                </c:pt>
                <c:pt idx="4">
                  <c:v>0.90132637433639506</c:v>
                </c:pt>
                <c:pt idx="5">
                  <c:v>0.90409949179328863</c:v>
                </c:pt>
              </c:numCache>
            </c:numRef>
          </c:xVal>
          <c:yVal>
            <c:numRef>
              <c:f>'Curva kr'!$V$12:$V$17</c:f>
              <c:numCache>
                <c:formatCode>0.0000</c:formatCode>
                <c:ptCount val="6"/>
                <c:pt idx="0">
                  <c:v>6.4339527875439468E-5</c:v>
                </c:pt>
                <c:pt idx="1">
                  <c:v>1.0777960188795403E-2</c:v>
                </c:pt>
                <c:pt idx="2">
                  <c:v>1.1277703349282294E-2</c:v>
                </c:pt>
                <c:pt idx="3">
                  <c:v>1.1402840909090909E-2</c:v>
                </c:pt>
                <c:pt idx="4">
                  <c:v>1.1623102425405688E-2</c:v>
                </c:pt>
                <c:pt idx="5">
                  <c:v>1.1639634728090499E-2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D9-4DEB-ACE4-C053EDB0FC68}"/>
            </c:ext>
          </c:extLst>
        </c:ser>
        <c:ser>
          <c:idx val="1"/>
          <c:order val="1"/>
          <c:tx>
            <c:v>kr aceite</c:v>
          </c:tx>
          <c:spPr>
            <a:ln w="28575">
              <a:solidFill>
                <a:schemeClr val="accent2"/>
              </a:solidFill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trendline>
            <c:spPr>
              <a:ln w="19050">
                <a:solidFill>
                  <a:srgbClr val="000000">
                    <a:alpha val="0"/>
                  </a:srgbClr>
                </a:solidFill>
              </a:ln>
            </c:spPr>
            <c:trendlineType val="linear"/>
            <c:dispRSqr val="0"/>
            <c:dispEq val="0"/>
          </c:trendline>
          <c:xVal>
            <c:numRef>
              <c:f>'Curva kr'!$M$12:$M$17</c:f>
              <c:numCache>
                <c:formatCode>0.0000</c:formatCode>
                <c:ptCount val="6"/>
                <c:pt idx="0">
                  <c:v>0.41331662048528728</c:v>
                </c:pt>
                <c:pt idx="1">
                  <c:v>0.82542167669779676</c:v>
                </c:pt>
                <c:pt idx="2">
                  <c:v>0.8595582861602109</c:v>
                </c:pt>
                <c:pt idx="3">
                  <c:v>0.87211043121257292</c:v>
                </c:pt>
                <c:pt idx="4">
                  <c:v>0.90132637433639506</c:v>
                </c:pt>
                <c:pt idx="5">
                  <c:v>0.90409949179328863</c:v>
                </c:pt>
              </c:numCache>
            </c:numRef>
          </c:xVal>
          <c:yVal>
            <c:numRef>
              <c:f>'Curva kr'!$W$12:$W$17</c:f>
              <c:numCache>
                <c:formatCode>0.0000</c:formatCode>
                <c:ptCount val="6"/>
                <c:pt idx="0">
                  <c:v>0.63696132596685084</c:v>
                </c:pt>
                <c:pt idx="1">
                  <c:v>4.7712189616252822E-2</c:v>
                </c:pt>
                <c:pt idx="2">
                  <c:v>2.0226315789473683E-2</c:v>
                </c:pt>
                <c:pt idx="3">
                  <c:v>1.3343750000000001E-2</c:v>
                </c:pt>
                <c:pt idx="4">
                  <c:v>1.2293666026871402E-3</c:v>
                </c:pt>
                <c:pt idx="5">
                  <c:v>3.2008995502248874E-4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2D9-4DEB-ACE4-C053EDB0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9627045"/>
        <c:axId val="947668821"/>
      </c:scatterChart>
      <c:valAx>
        <c:axId val="1609627045"/>
        <c:scaling>
          <c:orientation val="minMax"/>
          <c:min val="0.4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s-MX" sz="1400"/>
                  <a:t>Sw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/>
        </c:spPr>
        <c:crossAx val="947668821"/>
        <c:crosses val="autoZero"/>
        <c:crossBetween val="midCat"/>
      </c:valAx>
      <c:valAx>
        <c:axId val="94766882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400"/>
                </a:pPr>
                <a:r>
                  <a:rPr lang="es-MX" sz="1400"/>
                  <a:t>kr</a:t>
                </a:r>
              </a:p>
            </c:rich>
          </c:tx>
          <c:layout>
            <c:manualLayout>
              <c:xMode val="edge"/>
              <c:yMode val="edge"/>
              <c:x val="2.618893185005974E-2"/>
              <c:y val="0.4533694621003700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/>
        </c:spPr>
        <c:crossAx val="1609627045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72853480968036399"/>
          <c:y val="0.1682371217152073"/>
          <c:w val="0.19670679096147464"/>
          <c:h val="0.24053164013180986"/>
        </c:manualLayout>
      </c:layout>
      <c:overlay val="0"/>
    </c:legend>
    <c:plotVisOnly val="1"/>
    <c:dispBlanksAs val="zero"/>
    <c:showDLblsOverMax val="1"/>
  </c:chart>
  <c:spPr>
    <a:solidFill>
      <a:schemeClr val="accent1">
        <a:lumMod val="20000"/>
        <a:lumOff val="80000"/>
      </a:schemeClr>
    </a:solidFill>
  </c:spPr>
  <c:txPr>
    <a:bodyPr/>
    <a:lstStyle/>
    <a:p>
      <a:pPr>
        <a:defRPr sz="13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500"/>
            </a:pPr>
            <a:r>
              <a:rPr lang="es-MX" sz="1500"/>
              <a:t>Ajuste polinómico permeabilidad</a:t>
            </a:r>
            <a:r>
              <a:rPr lang="es-MX" sz="1500" baseline="0"/>
              <a:t> relativa</a:t>
            </a:r>
            <a:endParaRPr lang="es-MX" sz="1500"/>
          </a:p>
        </c:rich>
      </c:tx>
      <c:layout>
        <c:manualLayout>
          <c:xMode val="edge"/>
          <c:yMode val="edge"/>
          <c:x val="0.22011111111111115"/>
          <c:y val="3.8647342995169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59866312744901"/>
          <c:y val="0.12838752010837354"/>
          <c:w val="0.83624664480679289"/>
          <c:h val="0.67995300990601981"/>
        </c:manualLayout>
      </c:layout>
      <c:scatterChart>
        <c:scatterStyle val="lineMarker"/>
        <c:varyColors val="1"/>
        <c:ser>
          <c:idx val="0"/>
          <c:order val="0"/>
          <c:tx>
            <c:v>kr agua</c:v>
          </c:tx>
          <c:spPr>
            <a:ln w="28575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E0A5-424B-82E4-7291FACB627C}"/>
              </c:ext>
            </c:extLst>
          </c:dPt>
          <c:xVal>
            <c:numRef>
              <c:f>'Curva kr'!$M$12:$M$17</c:f>
              <c:numCache>
                <c:formatCode>0.0000</c:formatCode>
                <c:ptCount val="6"/>
                <c:pt idx="0">
                  <c:v>0.41331662048528728</c:v>
                </c:pt>
                <c:pt idx="1">
                  <c:v>0.82542167669779676</c:v>
                </c:pt>
                <c:pt idx="2">
                  <c:v>0.8595582861602109</c:v>
                </c:pt>
                <c:pt idx="3">
                  <c:v>0.87211043121257292</c:v>
                </c:pt>
                <c:pt idx="4">
                  <c:v>0.90132637433639506</c:v>
                </c:pt>
                <c:pt idx="5">
                  <c:v>0.90409949179328863</c:v>
                </c:pt>
              </c:numCache>
            </c:numRef>
          </c:xVal>
          <c:yVal>
            <c:numRef>
              <c:f>'Curva kr'!$X$12:$X$17</c:f>
              <c:numCache>
                <c:formatCode>0.0000</c:formatCode>
                <c:ptCount val="6"/>
                <c:pt idx="0">
                  <c:v>7.1251861868377569E-5</c:v>
                </c:pt>
                <c:pt idx="1">
                  <c:v>1.0801961670733469E-2</c:v>
                </c:pt>
                <c:pt idx="2">
                  <c:v>1.0781083157250957E-2</c:v>
                </c:pt>
                <c:pt idx="3">
                  <c:v>1.0614387536208999E-2</c:v>
                </c:pt>
                <c:pt idx="4">
                  <c:v>1.0625325500819441E-2</c:v>
                </c:pt>
                <c:pt idx="5">
                  <c:v>1.0302666503458865E-2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54-4F53-B6B7-C09648BE65EC}"/>
            </c:ext>
          </c:extLst>
        </c:ser>
        <c:ser>
          <c:idx val="1"/>
          <c:order val="1"/>
          <c:tx>
            <c:v>kr aceite</c:v>
          </c:tx>
          <c:spPr>
            <a:ln w="285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'Curva kr'!$M$12:$M$17</c:f>
              <c:numCache>
                <c:formatCode>0.0000</c:formatCode>
                <c:ptCount val="6"/>
                <c:pt idx="0">
                  <c:v>0.41331662048528728</c:v>
                </c:pt>
                <c:pt idx="1">
                  <c:v>0.82542167669779676</c:v>
                </c:pt>
                <c:pt idx="2">
                  <c:v>0.8595582861602109</c:v>
                </c:pt>
                <c:pt idx="3">
                  <c:v>0.87211043121257292</c:v>
                </c:pt>
                <c:pt idx="4">
                  <c:v>0.90132637433639506</c:v>
                </c:pt>
                <c:pt idx="5">
                  <c:v>0.90409949179328863</c:v>
                </c:pt>
              </c:numCache>
            </c:numRef>
          </c:xVal>
          <c:yVal>
            <c:numRef>
              <c:f>'Curva kr'!$Y$12:$Y$17</c:f>
              <c:numCache>
                <c:formatCode>0.0000</c:formatCode>
                <c:ptCount val="6"/>
                <c:pt idx="0">
                  <c:v>0.70539343249693809</c:v>
                </c:pt>
                <c:pt idx="1">
                  <c:v>4.7818440078978654E-2</c:v>
                </c:pt>
                <c:pt idx="2">
                  <c:v>1.933563827115661E-2</c:v>
                </c:pt>
                <c:pt idx="3">
                  <c:v>1.2421091797691382E-2</c:v>
                </c:pt>
                <c:pt idx="4">
                  <c:v>1.1238325048943641E-3</c:v>
                </c:pt>
                <c:pt idx="5">
                  <c:v>2.8332332884511882E-4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54-4F53-B6B7-C09648BE6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708880"/>
        <c:axId val="908764075"/>
      </c:scatterChart>
      <c:valAx>
        <c:axId val="1173708880"/>
        <c:scaling>
          <c:orientation val="minMax"/>
          <c:max val="0.95000000000000007"/>
          <c:min val="0.4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s-MX" sz="1400"/>
                  <a:t>Sw</a:t>
                </a:r>
              </a:p>
            </c:rich>
          </c:tx>
          <c:layout>
            <c:manualLayout>
              <c:xMode val="edge"/>
              <c:yMode val="edge"/>
              <c:x val="0.45748118985126868"/>
              <c:y val="0.9100054547611732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/>
        </c:spPr>
        <c:crossAx val="908764075"/>
        <c:crosses val="autoZero"/>
        <c:crossBetween val="midCat"/>
      </c:valAx>
      <c:valAx>
        <c:axId val="908764075"/>
        <c:scaling>
          <c:orientation val="minMax"/>
          <c:max val="0.8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400"/>
                </a:pPr>
                <a:r>
                  <a:rPr lang="es-MX" sz="1400"/>
                  <a:t>kr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noFill/>
          <a:ln/>
        </c:spPr>
        <c:crossAx val="1173708880"/>
        <c:crosses val="autoZero"/>
        <c:crossBetween val="midCat"/>
      </c:valAx>
      <c:spPr>
        <a:solidFill>
          <a:schemeClr val="bg1"/>
        </a:solidFill>
      </c:spPr>
    </c:plotArea>
    <c:legend>
      <c:legendPos val="b"/>
      <c:layout>
        <c:manualLayout>
          <c:xMode val="edge"/>
          <c:yMode val="edge"/>
          <c:x val="0.74852610090405369"/>
          <c:y val="0.15680192193717721"/>
          <c:w val="0.17684791484397783"/>
          <c:h val="0.17676493336883614"/>
        </c:manualLayout>
      </c:layout>
      <c:overlay val="0"/>
    </c:legend>
    <c:plotVisOnly val="1"/>
    <c:dispBlanksAs val="zero"/>
    <c:showDLblsOverMax val="1"/>
  </c:chart>
  <c:spPr>
    <a:solidFill>
      <a:schemeClr val="accent1">
        <a:lumMod val="40000"/>
        <a:lumOff val="60000"/>
      </a:schemeClr>
    </a:solidFill>
  </c:spPr>
  <c:txPr>
    <a:bodyPr/>
    <a:lstStyle/>
    <a:p>
      <a:pPr>
        <a:defRPr sz="13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500">
                <a:solidFill>
                  <a:schemeClr val="tx1"/>
                </a:solidFill>
              </a:defRPr>
            </a:pPr>
            <a:r>
              <a:rPr lang="es-MX" sz="1500">
                <a:solidFill>
                  <a:schemeClr val="tx1"/>
                </a:solidFill>
              </a:rPr>
              <a:t>Ajuste lineal de</a:t>
            </a:r>
            <a:r>
              <a:rPr lang="es-MX" sz="1500" baseline="0">
                <a:solidFill>
                  <a:schemeClr val="tx1"/>
                </a:solidFill>
              </a:rPr>
              <a:t> la derivada de inyectividad relativa por volumen acumulado</a:t>
            </a:r>
          </a:p>
        </c:rich>
      </c:tx>
      <c:layout>
        <c:manualLayout>
          <c:xMode val="edge"/>
          <c:yMode val="edge"/>
          <c:x val="0.16030649234883376"/>
          <c:y val="3.0303030303030303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11160038286192625"/>
          <c:y val="0.11186055624931422"/>
          <c:w val="0.83608280222913689"/>
          <c:h val="0.73493440061863546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trendline>
            <c:spPr>
              <a:ln w="22225">
                <a:solidFill>
                  <a:srgbClr val="000000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-0.4794416877135641"/>
                  <c:y val="0.15885993796230016"/>
                </c:manualLayout>
              </c:layout>
              <c:numFmt formatCode="General" sourceLinked="0"/>
            </c:trendlineLbl>
          </c:trendline>
          <c:xVal>
            <c:numRef>
              <c:f>'Curva kr'!$R$12:$R$17</c:f>
              <c:numCache>
                <c:formatCode>0.0000</c:formatCode>
                <c:ptCount val="6"/>
                <c:pt idx="0">
                  <c:v>3.5710790751008328</c:v>
                </c:pt>
                <c:pt idx="1">
                  <c:v>2.1250285830326057</c:v>
                </c:pt>
                <c:pt idx="2">
                  <c:v>1.4891676377673657</c:v>
                </c:pt>
                <c:pt idx="3">
                  <c:v>1.1440430534160133</c:v>
                </c:pt>
                <c:pt idx="4">
                  <c:v>0.91452221137261125</c:v>
                </c:pt>
                <c:pt idx="5">
                  <c:v>0.51566482873568109</c:v>
                </c:pt>
              </c:numCache>
            </c:numRef>
          </c:xVal>
          <c:yVal>
            <c:numRef>
              <c:f>'Curva kr'!$S$12:$S$17</c:f>
              <c:numCache>
                <c:formatCode>0.0000</c:formatCode>
                <c:ptCount val="6"/>
                <c:pt idx="0">
                  <c:v>2.2323992994746029</c:v>
                </c:pt>
                <c:pt idx="1">
                  <c:v>1.257100591715975</c:v>
                </c:pt>
                <c:pt idx="2">
                  <c:v>0.85607790463398159</c:v>
                </c:pt>
                <c:pt idx="3">
                  <c:v>0.64738445911630194</c:v>
                </c:pt>
                <c:pt idx="4">
                  <c:v>0.51192771084337285</c:v>
                </c:pt>
                <c:pt idx="5">
                  <c:v>0.28383433533734098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F8-4604-B49E-E5B0BE664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334097"/>
        <c:axId val="1058560148"/>
      </c:scatterChart>
      <c:valAx>
        <c:axId val="1137334097"/>
        <c:scaling>
          <c:orientation val="minMax"/>
          <c:max val="3.7"/>
          <c:min val="0.4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s-MX" sz="1400"/>
                  <a:t>1/IR*Qwi</a:t>
                </a:r>
              </a:p>
            </c:rich>
          </c:tx>
          <c:layout>
            <c:manualLayout>
              <c:xMode val="edge"/>
              <c:yMode val="edge"/>
              <c:x val="0.44970777001931367"/>
              <c:y val="0.9251536626103554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/>
        </c:spPr>
        <c:crossAx val="1058560148"/>
        <c:crosses val="autoZero"/>
        <c:crossBetween val="midCat"/>
      </c:valAx>
      <c:valAx>
        <c:axId val="10585601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/>
                </a:pPr>
                <a:r>
                  <a:rPr lang="es-MX" sz="1400"/>
                  <a:t>1/Qwi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/>
        </c:spPr>
        <c:crossAx val="1137334097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6668020690552182"/>
          <c:y val="0.15366315574189596"/>
          <c:w val="0.20239340365473188"/>
          <c:h val="0.13464853256979242"/>
        </c:manualLayout>
      </c:layout>
      <c:overlay val="0"/>
    </c:legend>
    <c:plotVisOnly val="1"/>
    <c:dispBlanksAs val="zero"/>
    <c:showDLblsOverMax val="1"/>
  </c:chart>
  <c:spPr>
    <a:solidFill>
      <a:schemeClr val="accent1">
        <a:lumMod val="20000"/>
        <a:lumOff val="80000"/>
      </a:schemeClr>
    </a:solidFill>
  </c:spPr>
  <c:txPr>
    <a:bodyPr/>
    <a:lstStyle/>
    <a:p>
      <a:pPr>
        <a:defRPr sz="13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3.png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4.emf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733425</xdr:colOff>
      <xdr:row>16</xdr:row>
      <xdr:rowOff>214312</xdr:rowOff>
    </xdr:from>
    <xdr:ext cx="2243137" cy="3047999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32019" y="4286250"/>
          <a:ext cx="2243137" cy="3047999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754856</xdr:colOff>
      <xdr:row>3</xdr:row>
      <xdr:rowOff>83343</xdr:rowOff>
    </xdr:from>
    <xdr:ext cx="2233613" cy="3017043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53450" y="797718"/>
          <a:ext cx="2233613" cy="3017043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1590447</xdr:colOff>
      <xdr:row>39</xdr:row>
      <xdr:rowOff>122223</xdr:rowOff>
    </xdr:from>
    <xdr:ext cx="5017394" cy="3085563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ACE64B73-C7A3-411B-8E12-23B8AA39E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13</xdr:col>
      <xdr:colOff>63105</xdr:colOff>
      <xdr:row>39</xdr:row>
      <xdr:rowOff>161198</xdr:rowOff>
    </xdr:from>
    <xdr:ext cx="4816162" cy="3166056"/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DFCEEF46-B483-49E0-A266-97BAABFA6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20</xdr:col>
      <xdr:colOff>238428</xdr:colOff>
      <xdr:row>61</xdr:row>
      <xdr:rowOff>328391</xdr:rowOff>
    </xdr:from>
    <xdr:ext cx="4802746" cy="3112394"/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57351A6C-0309-4274-B634-BDF4B95C4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1504950</xdr:colOff>
      <xdr:row>34</xdr:row>
      <xdr:rowOff>333375</xdr:rowOff>
    </xdr:from>
    <xdr:ext cx="3705225" cy="238125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ADE6DDB4-55C4-E046-8C97-BDCF3E4FA810}"/>
            </a:ext>
          </a:extLst>
        </xdr:cNvPr>
        <xdr:cNvSpPr txBox="1"/>
      </xdr:nvSpPr>
      <xdr:spPr>
        <a:xfrm>
          <a:off x="1606550" y="9705975"/>
          <a:ext cx="37052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1647825</xdr:colOff>
      <xdr:row>37</xdr:row>
      <xdr:rowOff>57150</xdr:rowOff>
    </xdr:from>
    <xdr:ext cx="3124200" cy="409575"/>
    <xdr:sp macro="" textlink="">
      <xdr:nvSpPr>
        <xdr:cNvPr id="8" name="Shape 5">
          <a:extLst>
            <a:ext uri="{FF2B5EF4-FFF2-40B4-BE49-F238E27FC236}">
              <a16:creationId xmlns:a16="http://schemas.microsoft.com/office/drawing/2014/main" id="{4CCB1704-70D7-594D-A1ED-0DAF32DBFD8F}"/>
            </a:ext>
          </a:extLst>
        </xdr:cNvPr>
        <xdr:cNvSpPr txBox="1"/>
      </xdr:nvSpPr>
      <xdr:spPr>
        <a:xfrm>
          <a:off x="1749425" y="10826750"/>
          <a:ext cx="312420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>
    <xdr:from>
      <xdr:col>1</xdr:col>
      <xdr:colOff>25400</xdr:colOff>
      <xdr:row>36</xdr:row>
      <xdr:rowOff>25400</xdr:rowOff>
    </xdr:from>
    <xdr:to>
      <xdr:col>1</xdr:col>
      <xdr:colOff>1244600</xdr:colOff>
      <xdr:row>37</xdr:row>
      <xdr:rowOff>215900</xdr:rowOff>
    </xdr:to>
    <xdr:pic>
      <xdr:nvPicPr>
        <xdr:cNvPr id="9" name="image1.png" descr="A picture containing text, clipart&#10;&#10;Description automatically generated">
          <a:extLst>
            <a:ext uri="{FF2B5EF4-FFF2-40B4-BE49-F238E27FC236}">
              <a16:creationId xmlns:a16="http://schemas.microsoft.com/office/drawing/2014/main" id="{C1DB46CD-7D9C-3F43-A18A-A381B7A43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0566400"/>
          <a:ext cx="12192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409575</xdr:colOff>
      <xdr:row>5</xdr:row>
      <xdr:rowOff>95250</xdr:rowOff>
    </xdr:from>
    <xdr:ext cx="5133975" cy="3162300"/>
    <xdr:graphicFrame macro="">
      <xdr:nvGraphicFramePr>
        <xdr:cNvPr id="138744167" name="Chart 1">
          <a:extLst>
            <a:ext uri="{FF2B5EF4-FFF2-40B4-BE49-F238E27FC236}">
              <a16:creationId xmlns:a16="http://schemas.microsoft.com/office/drawing/2014/main" id="{00000000-0008-0000-0200-0000671145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276225</xdr:colOff>
      <xdr:row>32</xdr:row>
      <xdr:rowOff>114300</xdr:rowOff>
    </xdr:from>
    <xdr:ext cx="4924425" cy="3200400"/>
    <xdr:graphicFrame macro="">
      <xdr:nvGraphicFramePr>
        <xdr:cNvPr id="1020696934" name="Chart 2">
          <a:extLst>
            <a:ext uri="{FF2B5EF4-FFF2-40B4-BE49-F238E27FC236}">
              <a16:creationId xmlns:a16="http://schemas.microsoft.com/office/drawing/2014/main" id="{00000000-0008-0000-0200-00006699D6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11</xdr:col>
      <xdr:colOff>142875</xdr:colOff>
      <xdr:row>61</xdr:row>
      <xdr:rowOff>66675</xdr:rowOff>
    </xdr:from>
    <xdr:ext cx="4676775" cy="3000375"/>
    <xdr:graphicFrame macro="">
      <xdr:nvGraphicFramePr>
        <xdr:cNvPr id="700386192" name="Chart 3">
          <a:extLst>
            <a:ext uri="{FF2B5EF4-FFF2-40B4-BE49-F238E27FC236}">
              <a16:creationId xmlns:a16="http://schemas.microsoft.com/office/drawing/2014/main" id="{00000000-0008-0000-0200-0000900BBF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135164</xdr:colOff>
      <xdr:row>19</xdr:row>
      <xdr:rowOff>32353</xdr:rowOff>
    </xdr:from>
    <xdr:ext cx="6737350" cy="4216400"/>
    <xdr:graphicFrame macro="">
      <xdr:nvGraphicFramePr>
        <xdr:cNvPr id="1026635304" name="Chart 4">
          <a:extLst>
            <a:ext uri="{FF2B5EF4-FFF2-40B4-BE49-F238E27FC236}">
              <a16:creationId xmlns:a16="http://schemas.microsoft.com/office/drawing/2014/main" id="{00000000-0008-0000-0400-0000283631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23</xdr:col>
      <xdr:colOff>63199</xdr:colOff>
      <xdr:row>42</xdr:row>
      <xdr:rowOff>157086</xdr:rowOff>
    </xdr:from>
    <xdr:ext cx="6858000" cy="4265235"/>
    <xdr:graphicFrame macro="">
      <xdr:nvGraphicFramePr>
        <xdr:cNvPr id="504826731" name="Chart 5">
          <a:extLst>
            <a:ext uri="{FF2B5EF4-FFF2-40B4-BE49-F238E27FC236}">
              <a16:creationId xmlns:a16="http://schemas.microsoft.com/office/drawing/2014/main" id="{00000000-0008-0000-0400-00006B0B17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17</xdr:col>
      <xdr:colOff>1224642</xdr:colOff>
      <xdr:row>18</xdr:row>
      <xdr:rowOff>138339</xdr:rowOff>
    </xdr:from>
    <xdr:ext cx="6731000" cy="4191000"/>
    <xdr:graphicFrame macro="">
      <xdr:nvGraphicFramePr>
        <xdr:cNvPr id="1067062676" name="Chart 6">
          <a:extLst>
            <a:ext uri="{FF2B5EF4-FFF2-40B4-BE49-F238E27FC236}">
              <a16:creationId xmlns:a16="http://schemas.microsoft.com/office/drawing/2014/main" id="{00000000-0008-0000-0400-000094159A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17</xdr:col>
      <xdr:colOff>1183215</xdr:colOff>
      <xdr:row>41</xdr:row>
      <xdr:rowOff>176135</xdr:rowOff>
    </xdr:from>
    <xdr:ext cx="6746875" cy="4223206"/>
    <xdr:graphicFrame macro="">
      <xdr:nvGraphicFramePr>
        <xdr:cNvPr id="1013159202" name="Chart 7">
          <a:extLst>
            <a:ext uri="{FF2B5EF4-FFF2-40B4-BE49-F238E27FC236}">
              <a16:creationId xmlns:a16="http://schemas.microsoft.com/office/drawing/2014/main" id="{00000000-0008-0000-0400-0000229563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23</xdr:row>
      <xdr:rowOff>19050</xdr:rowOff>
    </xdr:from>
    <xdr:ext cx="3914775" cy="44767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3393375" y="3557311"/>
          <a:ext cx="3905250" cy="445378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866775</xdr:colOff>
      <xdr:row>31</xdr:row>
      <xdr:rowOff>38100</xdr:rowOff>
    </xdr:from>
    <xdr:ext cx="2638425" cy="4476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4029710" y="3557343"/>
          <a:ext cx="2632580" cy="44531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409575</xdr:colOff>
      <xdr:row>34</xdr:row>
      <xdr:rowOff>161925</xdr:rowOff>
    </xdr:from>
    <xdr:ext cx="4533900" cy="4572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3079162" y="3552053"/>
          <a:ext cx="4533677" cy="455894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495300</xdr:colOff>
      <xdr:row>39</xdr:row>
      <xdr:rowOff>9525</xdr:rowOff>
    </xdr:from>
    <xdr:ext cx="4533900" cy="4572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3079162" y="3552053"/>
          <a:ext cx="4533677" cy="455894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1276350</xdr:colOff>
      <xdr:row>42</xdr:row>
      <xdr:rowOff>152400</xdr:rowOff>
    </xdr:from>
    <xdr:ext cx="2990850" cy="44767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3854182" y="3557343"/>
          <a:ext cx="2983637" cy="44531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533400</xdr:colOff>
      <xdr:row>50</xdr:row>
      <xdr:rowOff>66675</xdr:rowOff>
    </xdr:from>
    <xdr:ext cx="1628775" cy="7143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4534400" y="3427532"/>
          <a:ext cx="1623201" cy="704937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942975</xdr:colOff>
      <xdr:row>54</xdr:row>
      <xdr:rowOff>152400</xdr:rowOff>
    </xdr:from>
    <xdr:ext cx="2314575" cy="45720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4189498" y="3552053"/>
          <a:ext cx="2313005" cy="455894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638175</xdr:colOff>
      <xdr:row>59</xdr:row>
      <xdr:rowOff>152400</xdr:rowOff>
    </xdr:from>
    <xdr:ext cx="1333500" cy="60960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4682581" y="3477994"/>
          <a:ext cx="1326838" cy="604012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400"/>
        </a:p>
      </xdr:txBody>
    </xdr:sp>
    <xdr:clientData fLocksWithSheet="0"/>
  </xdr:oneCellAnchor>
  <xdr:oneCellAnchor>
    <xdr:from>
      <xdr:col>2</xdr:col>
      <xdr:colOff>1447800</xdr:colOff>
      <xdr:row>66</xdr:row>
      <xdr:rowOff>0</xdr:rowOff>
    </xdr:from>
    <xdr:ext cx="1905000" cy="45720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4395804" y="3552053"/>
          <a:ext cx="1900392" cy="455894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23</xdr:col>
      <xdr:colOff>28575</xdr:colOff>
      <xdr:row>9</xdr:row>
      <xdr:rowOff>85725</xdr:rowOff>
    </xdr:from>
    <xdr:ext cx="1905000" cy="457200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4395804" y="3552053"/>
          <a:ext cx="1900392" cy="455894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24</xdr:col>
      <xdr:colOff>19050</xdr:colOff>
      <xdr:row>9</xdr:row>
      <xdr:rowOff>19050</xdr:rowOff>
    </xdr:from>
    <xdr:ext cx="1333500" cy="609600"/>
    <xdr:sp macro="" textlink="">
      <xdr:nvSpPr>
        <xdr:cNvPr id="20" name="Shape 20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4682581" y="3477994"/>
          <a:ext cx="1326838" cy="604012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400"/>
        </a:p>
      </xdr:txBody>
    </xdr:sp>
    <xdr:clientData fLocksWithSheet="0"/>
  </xdr:oneCellAnchor>
  <xdr:oneCellAnchor>
    <xdr:from>
      <xdr:col>9</xdr:col>
      <xdr:colOff>69056</xdr:colOff>
      <xdr:row>9</xdr:row>
      <xdr:rowOff>130968</xdr:rowOff>
    </xdr:from>
    <xdr:ext cx="2322752" cy="4135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B8D81DE0-ADEA-446E-B70F-F80794DCA792}"/>
                </a:ext>
              </a:extLst>
            </xdr:cNvPr>
            <xdr:cNvSpPr txBox="1"/>
          </xdr:nvSpPr>
          <xdr:spPr>
            <a:xfrm>
              <a:off x="10784681" y="2528093"/>
              <a:ext cx="2322752" cy="4135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3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𝑄</m:t>
                        </m:r>
                      </m:e>
                      <m:sub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𝑤𝑖</m:t>
                        </m:r>
                      </m:sub>
                    </m:sSub>
                    <m:r>
                      <a:rPr lang="es-MX" sz="13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3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𝑣𝑜𝑙𝑢𝑚𝑒𝑛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𝑡𝑜𝑡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. 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𝑎𝑐𝑢𝑚𝑢𝑙𝑎𝑑𝑜</m:t>
                        </m:r>
                      </m:num>
                      <m:den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𝑣𝑜𝑙𝑢𝑚𝑒𝑛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𝑝𝑜𝑟𝑜𝑠𝑜</m:t>
                        </m:r>
                      </m:den>
                    </m:f>
                  </m:oMath>
                </m:oMathPara>
              </a14:m>
              <a:endParaRPr lang="es-MX" sz="13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B8D81DE0-ADEA-446E-B70F-F80794DCA792}"/>
                </a:ext>
              </a:extLst>
            </xdr:cNvPr>
            <xdr:cNvSpPr txBox="1"/>
          </xdr:nvSpPr>
          <xdr:spPr>
            <a:xfrm>
              <a:off x="10784681" y="2528093"/>
              <a:ext cx="2322752" cy="4135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300" b="0" i="0">
                  <a:latin typeface="Cambria Math" panose="02040503050406030204" pitchFamily="18" charset="0"/>
                </a:rPr>
                <a:t>𝑄_𝑤𝑖=(𝑣𝑜𝑙𝑢𝑚𝑒𝑛 𝑡𝑜𝑡. 𝑎𝑐𝑢𝑚𝑢𝑙𝑎𝑑𝑜)/(𝑣𝑜𝑙𝑢𝑚𝑒𝑛 𝑝𝑜𝑟𝑜𝑠𝑜)</a:t>
              </a:r>
              <a:endParaRPr lang="es-MX" sz="1300"/>
            </a:p>
          </xdr:txBody>
        </xdr:sp>
      </mc:Fallback>
    </mc:AlternateContent>
    <xdr:clientData/>
  </xdr:oneCellAnchor>
  <xdr:oneCellAnchor>
    <xdr:from>
      <xdr:col>10</xdr:col>
      <xdr:colOff>110331</xdr:colOff>
      <xdr:row>9</xdr:row>
      <xdr:rowOff>146844</xdr:rowOff>
    </xdr:from>
    <xdr:ext cx="2138983" cy="4149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8EA38231-CFA0-4733-8CBF-1209E4E58482}"/>
                </a:ext>
              </a:extLst>
            </xdr:cNvPr>
            <xdr:cNvSpPr txBox="1"/>
          </xdr:nvSpPr>
          <xdr:spPr>
            <a:xfrm>
              <a:off x="13270706" y="2543969"/>
              <a:ext cx="2138983" cy="4149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3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𝑤𝐿</m:t>
                        </m:r>
                      </m:sub>
                    </m:sSub>
                    <m:r>
                      <a:rPr lang="es-MX" sz="13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3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𝑣𝑜𝑙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. 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𝑑𝑒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𝑎𝑔𝑢𝑎</m:t>
                        </m:r>
                      </m:num>
                      <m:den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𝑣𝑜𝑙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. 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𝑎𝑐𝑒𝑖𝑡𝑒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𝑣𝑜𝑙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. 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𝑎𝑔𝑢𝑎</m:t>
                        </m:r>
                      </m:den>
                    </m:f>
                  </m:oMath>
                </m:oMathPara>
              </a14:m>
              <a:endParaRPr lang="es-MX" sz="1300"/>
            </a:p>
          </xdr:txBody>
        </xdr:sp>
      </mc:Choice>
      <mc:Fallback xmlns=""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8EA38231-CFA0-4733-8CBF-1209E4E58482}"/>
                </a:ext>
              </a:extLst>
            </xdr:cNvPr>
            <xdr:cNvSpPr txBox="1"/>
          </xdr:nvSpPr>
          <xdr:spPr>
            <a:xfrm>
              <a:off x="13270706" y="2543969"/>
              <a:ext cx="2138983" cy="4149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300" b="0" i="0">
                  <a:latin typeface="Cambria Math" panose="02040503050406030204" pitchFamily="18" charset="0"/>
                </a:rPr>
                <a:t>𝑓_𝑤𝐿=(𝑣𝑜𝑙. 𝑑𝑒 𝑎𝑔𝑢𝑎)/(𝑣𝑜𝑙. 𝑎𝑐𝑒𝑖𝑡𝑒+𝑣𝑜𝑙. 𝑎𝑔𝑢𝑎)</a:t>
              </a:r>
              <a:endParaRPr lang="es-MX" sz="1300"/>
            </a:p>
          </xdr:txBody>
        </xdr:sp>
      </mc:Fallback>
    </mc:AlternateContent>
    <xdr:clientData/>
  </xdr:oneCellAnchor>
  <xdr:oneCellAnchor>
    <xdr:from>
      <xdr:col>11</xdr:col>
      <xdr:colOff>84931</xdr:colOff>
      <xdr:row>9</xdr:row>
      <xdr:rowOff>129381</xdr:rowOff>
    </xdr:from>
    <xdr:ext cx="2854371" cy="4135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A925F860-2709-41E7-884A-9057CA5AAB8F}"/>
                </a:ext>
              </a:extLst>
            </xdr:cNvPr>
            <xdr:cNvSpPr txBox="1"/>
          </xdr:nvSpPr>
          <xdr:spPr>
            <a:xfrm>
              <a:off x="15583467" y="2551452"/>
              <a:ext cx="2854371" cy="4135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3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acc>
                          <m:accPr>
                            <m:chr m:val="̅"/>
                            <m:ctrlPr>
                              <a:rPr lang="es-MX" sz="1300" b="0" i="1">
                                <a:latin typeface="Cambria Math" panose="02040503050406030204" pitchFamily="18" charset="0"/>
                              </a:rPr>
                            </m:ctrlPr>
                          </m:accPr>
                          <m:e>
                            <m:r>
                              <a:rPr lang="es-MX" sz="1300" b="0" i="1">
                                <a:latin typeface="Cambria Math" panose="02040503050406030204" pitchFamily="18" charset="0"/>
                              </a:rPr>
                              <m:t>𝑆</m:t>
                            </m:r>
                          </m:e>
                        </m:acc>
                      </m:e>
                      <m:sub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𝑤</m:t>
                        </m:r>
                      </m:sub>
                    </m:sSub>
                    <m:r>
                      <a:rPr lang="es-MX" sz="13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3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𝑤𝑟</m:t>
                        </m:r>
                        <m:r>
                          <a:rPr lang="en-US" sz="1300" b="0" i="1">
                            <a:latin typeface="Cambria Math" panose="02040503050406030204" pitchFamily="18" charset="0"/>
                          </a:rPr>
                          <m:t>+</m:t>
                        </m:r>
                      </m:sub>
                    </m:sSub>
                    <m:f>
                      <m:fPr>
                        <m:ctrlPr>
                          <a:rPr lang="es-MX" sz="13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𝑣𝑜𝑙𝑢𝑚𝑒𝑛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𝑎𝑐𝑒𝑖𝑡𝑒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𝑑𝑒𝑠𝑝𝑙𝑎𝑧𝑎𝑑𝑜</m:t>
                        </m:r>
                      </m:num>
                      <m:den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𝑣𝑜𝑙𝑢𝑚𝑒𝑛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𝑝𝑜𝑟𝑜𝑠𝑜</m:t>
                        </m:r>
                      </m:den>
                    </m:f>
                  </m:oMath>
                </m:oMathPara>
              </a14:m>
              <a:endParaRPr lang="es-MX" sz="1300"/>
            </a:p>
          </xdr:txBody>
        </xdr:sp>
      </mc:Choice>
      <mc:Fallback xmlns=""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A925F860-2709-41E7-884A-9057CA5AAB8F}"/>
                </a:ext>
              </a:extLst>
            </xdr:cNvPr>
            <xdr:cNvSpPr txBox="1"/>
          </xdr:nvSpPr>
          <xdr:spPr>
            <a:xfrm>
              <a:off x="15583467" y="2551452"/>
              <a:ext cx="2854371" cy="4135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spAutoFit/>
            </a:bodyPr>
            <a:lstStyle/>
            <a:p>
              <a:pPr/>
              <a:r>
                <a:rPr lang="es-MX" sz="1300" b="0" i="0">
                  <a:latin typeface="Cambria Math" panose="02040503050406030204" pitchFamily="18" charset="0"/>
                </a:rPr>
                <a:t>𝑆 ̅_𝑤=𝑆_(𝑤𝑟</a:t>
              </a:r>
              <a:r>
                <a:rPr lang="en-US" sz="1300" b="0" i="0">
                  <a:latin typeface="Cambria Math" panose="02040503050406030204" pitchFamily="18" charset="0"/>
                </a:rPr>
                <a:t>+</a:t>
              </a:r>
              <a:r>
                <a:rPr lang="es-MX" sz="1300" b="0" i="0">
                  <a:latin typeface="Cambria Math" panose="02040503050406030204" pitchFamily="18" charset="0"/>
                </a:rPr>
                <a:t>)  (𝑣𝑜𝑙𝑢𝑚𝑒𝑛 𝑎𝑐𝑒𝑖𝑡𝑒 𝑑𝑒𝑠𝑝𝑙𝑎𝑧𝑎𝑑𝑜)/(𝑣𝑜𝑙𝑢𝑚𝑒𝑛 𝑝𝑜𝑟𝑜𝑠𝑜)</a:t>
              </a:r>
              <a:endParaRPr lang="es-MX" sz="1300"/>
            </a:p>
          </xdr:txBody>
        </xdr:sp>
      </mc:Fallback>
    </mc:AlternateContent>
    <xdr:clientData/>
  </xdr:oneCellAnchor>
  <xdr:oneCellAnchor>
    <xdr:from>
      <xdr:col>12</xdr:col>
      <xdr:colOff>565943</xdr:colOff>
      <xdr:row>9</xdr:row>
      <xdr:rowOff>233362</xdr:rowOff>
    </xdr:from>
    <xdr:ext cx="1230529" cy="2081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C209C6C4-D39C-0A73-5ABE-6C49BD778076}"/>
                </a:ext>
              </a:extLst>
            </xdr:cNvPr>
            <xdr:cNvSpPr txBox="1"/>
          </xdr:nvSpPr>
          <xdr:spPr>
            <a:xfrm>
              <a:off x="18933318" y="2630487"/>
              <a:ext cx="1230529" cy="2081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3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𝑤𝐿</m:t>
                        </m:r>
                      </m:sub>
                    </m:sSub>
                    <m:r>
                      <a:rPr lang="es-MX" sz="13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3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acc>
                          <m:accPr>
                            <m:chr m:val="̅"/>
                            <m:ctrlPr>
                              <a:rPr lang="es-MX" sz="1300" b="0" i="1">
                                <a:latin typeface="Cambria Math" panose="02040503050406030204" pitchFamily="18" charset="0"/>
                              </a:rPr>
                            </m:ctrlPr>
                          </m:accPr>
                          <m:e>
                            <m:r>
                              <a:rPr lang="es-MX" sz="1300" b="0" i="1">
                                <a:latin typeface="Cambria Math" panose="02040503050406030204" pitchFamily="18" charset="0"/>
                              </a:rPr>
                              <m:t>𝑆</m:t>
                            </m:r>
                          </m:e>
                        </m:acc>
                      </m:e>
                      <m:sub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𝑤</m:t>
                        </m:r>
                      </m:sub>
                    </m:sSub>
                    <m:r>
                      <a:rPr lang="es-MX" sz="1300" b="0" i="1">
                        <a:latin typeface="Cambria Math" panose="02040503050406030204" pitchFamily="18" charset="0"/>
                      </a:rPr>
                      <m:t> </m:t>
                    </m:r>
                    <m:sSub>
                      <m:sSubPr>
                        <m:ctrlPr>
                          <a:rPr lang="es-MX" sz="13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𝑄</m:t>
                        </m:r>
                      </m:e>
                      <m:sub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𝑤𝑖</m:t>
                        </m:r>
                      </m:sub>
                    </m:sSub>
                    <m:sSub>
                      <m:sSubPr>
                        <m:ctrlPr>
                          <a:rPr lang="es-MX" sz="13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𝑜𝐿</m:t>
                        </m:r>
                      </m:sub>
                    </m:sSub>
                  </m:oMath>
                </m:oMathPara>
              </a14:m>
              <a:endParaRPr lang="es-MX" sz="1300"/>
            </a:p>
          </xdr:txBody>
        </xdr:sp>
      </mc:Choice>
      <mc:Fallback xmlns=""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C209C6C4-D39C-0A73-5ABE-6C49BD778076}"/>
                </a:ext>
              </a:extLst>
            </xdr:cNvPr>
            <xdr:cNvSpPr txBox="1"/>
          </xdr:nvSpPr>
          <xdr:spPr>
            <a:xfrm>
              <a:off x="18933318" y="2630487"/>
              <a:ext cx="1230529" cy="2081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spAutoFit/>
            </a:bodyPr>
            <a:lstStyle/>
            <a:p>
              <a:pPr/>
              <a:r>
                <a:rPr lang="es-MX" sz="1300" b="0" i="0">
                  <a:latin typeface="Cambria Math" panose="02040503050406030204" pitchFamily="18" charset="0"/>
                </a:rPr>
                <a:t>𝑆_𝑤𝐿=𝑆 ̅_𝑤  𝑄_𝑤𝑖 𝑓_𝑜𝐿</a:t>
              </a:r>
              <a:endParaRPr lang="es-MX" sz="1300"/>
            </a:p>
          </xdr:txBody>
        </xdr:sp>
      </mc:Fallback>
    </mc:AlternateContent>
    <xdr:clientData/>
  </xdr:oneCellAnchor>
  <xdr:oneCellAnchor>
    <xdr:from>
      <xdr:col>13</xdr:col>
      <xdr:colOff>52388</xdr:colOff>
      <xdr:row>9</xdr:row>
      <xdr:rowOff>80962</xdr:rowOff>
    </xdr:from>
    <xdr:ext cx="2111091" cy="4149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0C0606C6-2024-449B-BDA9-567583D2DE02}"/>
                </a:ext>
              </a:extLst>
            </xdr:cNvPr>
            <xdr:cNvSpPr txBox="1"/>
          </xdr:nvSpPr>
          <xdr:spPr>
            <a:xfrm>
              <a:off x="19185732" y="2081212"/>
              <a:ext cx="2111091" cy="4149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3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𝑜𝐿</m:t>
                        </m:r>
                      </m:sub>
                    </m:sSub>
                    <m:r>
                      <a:rPr lang="es-MX" sz="13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3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𝑣𝑜𝑙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. 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𝑑𝑒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𝑎𝑐𝑒𝑖𝑡𝑒</m:t>
                        </m:r>
                      </m:num>
                      <m:den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𝑣𝑜𝑙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. 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𝑎𝑐𝑒𝑖𝑡𝑒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𝑣𝑜𝑙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. </m:t>
                        </m:r>
                        <m:r>
                          <a:rPr lang="es-MX" sz="1300" b="0" i="1">
                            <a:latin typeface="Cambria Math" panose="02040503050406030204" pitchFamily="18" charset="0"/>
                          </a:rPr>
                          <m:t>𝑎𝑔𝑢𝑎</m:t>
                        </m:r>
                      </m:den>
                    </m:f>
                  </m:oMath>
                </m:oMathPara>
              </a14:m>
              <a:endParaRPr lang="es-MX" sz="1300"/>
            </a:p>
          </xdr:txBody>
        </xdr:sp>
      </mc:Choice>
      <mc:Fallback xmlns=""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0C0606C6-2024-449B-BDA9-567583D2DE02}"/>
                </a:ext>
              </a:extLst>
            </xdr:cNvPr>
            <xdr:cNvSpPr txBox="1"/>
          </xdr:nvSpPr>
          <xdr:spPr>
            <a:xfrm>
              <a:off x="19185732" y="2081212"/>
              <a:ext cx="2111091" cy="4149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spAutoFit/>
            </a:bodyPr>
            <a:lstStyle/>
            <a:p>
              <a:r>
                <a:rPr lang="es-MX" sz="1300" b="0" i="0">
                  <a:latin typeface="Cambria Math" panose="02040503050406030204" pitchFamily="18" charset="0"/>
                </a:rPr>
                <a:t>𝑓_𝑜𝐿=(𝑣𝑜𝑙. 𝑑𝑒 𝑎𝑐𝑒𝑖𝑡𝑒)/(𝑣𝑜𝑙. 𝑎𝑐𝑒𝑖𝑡𝑒+𝑣𝑜𝑙. 𝑎𝑔𝑢𝑎)</a:t>
              </a:r>
              <a:endParaRPr lang="es-MX" sz="1300"/>
            </a:p>
          </xdr:txBody>
        </xdr:sp>
      </mc:Fallback>
    </mc:AlternateContent>
    <xdr:clientData/>
  </xdr:oneCellAnchor>
  <xdr:oneCellAnchor>
    <xdr:from>
      <xdr:col>14</xdr:col>
      <xdr:colOff>424654</xdr:colOff>
      <xdr:row>9</xdr:row>
      <xdr:rowOff>132159</xdr:rowOff>
    </xdr:from>
    <xdr:ext cx="769145" cy="42691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85EB2E1F-E936-6E89-B281-135E7685ED05}"/>
                </a:ext>
              </a:extLst>
            </xdr:cNvPr>
            <xdr:cNvSpPr txBox="1"/>
          </xdr:nvSpPr>
          <xdr:spPr>
            <a:xfrm>
              <a:off x="23300529" y="2529284"/>
              <a:ext cx="769145" cy="4269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MX" sz="13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13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3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𝜇</m:t>
                            </m:r>
                          </m:e>
                          <m:sub>
                            <m:r>
                              <a:rPr lang="es-MX" sz="1300" b="0" i="1">
                                <a:latin typeface="Cambria Math" panose="02040503050406030204" pitchFamily="18" charset="0"/>
                              </a:rPr>
                              <m:t>𝑤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MX" sz="13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3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𝜇</m:t>
                            </m:r>
                          </m:e>
                          <m:sub>
                            <m:r>
                              <a:rPr lang="es-MX" sz="1300" b="0" i="1">
                                <a:latin typeface="Cambria Math" panose="02040503050406030204" pitchFamily="18" charset="0"/>
                              </a:rPr>
                              <m:t>𝑜</m:t>
                            </m:r>
                          </m:sub>
                        </m:sSub>
                      </m:den>
                    </m:f>
                    <m:r>
                      <a:rPr lang="es-MX" sz="13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f>
                      <m:fPr>
                        <m:ctrlPr>
                          <a:rPr lang="es-MX" sz="13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13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3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es-MX" sz="13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𝑤𝐿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MX" sz="13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3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es-MX" sz="13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𝑜𝐿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s-MX" sz="1300"/>
            </a:p>
          </xdr:txBody>
        </xdr:sp>
      </mc:Choice>
      <mc:Fallback xmlns=""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85EB2E1F-E936-6E89-B281-135E7685ED05}"/>
                </a:ext>
              </a:extLst>
            </xdr:cNvPr>
            <xdr:cNvSpPr txBox="1"/>
          </xdr:nvSpPr>
          <xdr:spPr>
            <a:xfrm>
              <a:off x="23300529" y="2529284"/>
              <a:ext cx="769145" cy="4269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:r>
                <a:rPr lang="es-MX" sz="13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𝜇_</a:t>
              </a:r>
              <a:r>
                <a:rPr lang="es-MX" sz="1300" b="0" i="0">
                  <a:latin typeface="Cambria Math" panose="02040503050406030204" pitchFamily="18" charset="0"/>
                </a:rPr>
                <a:t>𝑤/</a:t>
              </a:r>
              <a:r>
                <a:rPr lang="es-MX" sz="13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𝜇_</a:t>
              </a:r>
              <a:r>
                <a:rPr lang="es-MX" sz="1300" b="0" i="0">
                  <a:latin typeface="Cambria Math" panose="02040503050406030204" pitchFamily="18" charset="0"/>
                </a:rPr>
                <a:t>𝑜 </a:t>
              </a:r>
              <a:r>
                <a:rPr lang="es-MX" sz="1300" i="0">
                  <a:latin typeface="Cambria Math" panose="02040503050406030204" pitchFamily="18" charset="0"/>
                  <a:ea typeface="Cambria Math" panose="02040503050406030204" pitchFamily="18" charset="0"/>
                </a:rPr>
                <a:t>×</a:t>
              </a:r>
              <a:r>
                <a:rPr lang="es-MX" sz="13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𝑓_𝑤𝐿/𝑓_𝑜𝐿 </a:t>
              </a:r>
              <a:endParaRPr lang="es-MX" sz="1300"/>
            </a:p>
          </xdr:txBody>
        </xdr:sp>
      </mc:Fallback>
    </mc:AlternateContent>
    <xdr:clientData/>
  </xdr:oneCellAnchor>
  <xdr:oneCellAnchor>
    <xdr:from>
      <xdr:col>15</xdr:col>
      <xdr:colOff>225425</xdr:colOff>
      <xdr:row>9</xdr:row>
      <xdr:rowOff>98425</xdr:rowOff>
    </xdr:from>
    <xdr:ext cx="769145" cy="42691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TextBox 27">
              <a:extLst>
                <a:ext uri="{FF2B5EF4-FFF2-40B4-BE49-F238E27FC236}">
                  <a16:creationId xmlns:a16="http://schemas.microsoft.com/office/drawing/2014/main" id="{DAE36868-CF3E-41B9-8CAB-0125B60A3392}"/>
                </a:ext>
              </a:extLst>
            </xdr:cNvPr>
            <xdr:cNvSpPr txBox="1"/>
          </xdr:nvSpPr>
          <xdr:spPr>
            <a:xfrm>
              <a:off x="24672925" y="2495550"/>
              <a:ext cx="769145" cy="4269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MX" sz="13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13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3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𝜇</m:t>
                            </m:r>
                          </m:e>
                          <m:sub>
                            <m:r>
                              <a:rPr lang="es-MX" sz="1300" b="0" i="1">
                                <a:latin typeface="Cambria Math" panose="02040503050406030204" pitchFamily="18" charset="0"/>
                              </a:rPr>
                              <m:t>𝑜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MX" sz="13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3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𝜇</m:t>
                            </m:r>
                          </m:e>
                          <m:sub>
                            <m:r>
                              <a:rPr lang="es-MX" sz="1300" b="0" i="1">
                                <a:latin typeface="Cambria Math" panose="02040503050406030204" pitchFamily="18" charset="0"/>
                              </a:rPr>
                              <m:t>𝑤</m:t>
                            </m:r>
                          </m:sub>
                        </m:sSub>
                      </m:den>
                    </m:f>
                    <m:r>
                      <a:rPr lang="es-MX" sz="13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f>
                      <m:fPr>
                        <m:ctrlPr>
                          <a:rPr lang="es-MX" sz="13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13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3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es-MX" sz="13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𝑜𝐿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MX" sz="13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3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es-MX" sz="13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𝑤𝐿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s-MX" sz="1300"/>
            </a:p>
          </xdr:txBody>
        </xdr:sp>
      </mc:Choice>
      <mc:Fallback xmlns="">
        <xdr:sp macro="" textlink="">
          <xdr:nvSpPr>
            <xdr:cNvPr id="28" name="TextBox 27">
              <a:extLst>
                <a:ext uri="{FF2B5EF4-FFF2-40B4-BE49-F238E27FC236}">
                  <a16:creationId xmlns:a16="http://schemas.microsoft.com/office/drawing/2014/main" id="{DAE36868-CF3E-41B9-8CAB-0125B60A3392}"/>
                </a:ext>
              </a:extLst>
            </xdr:cNvPr>
            <xdr:cNvSpPr txBox="1"/>
          </xdr:nvSpPr>
          <xdr:spPr>
            <a:xfrm>
              <a:off x="24672925" y="2495550"/>
              <a:ext cx="769145" cy="4269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:r>
                <a:rPr lang="es-MX" sz="13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𝜇_</a:t>
              </a:r>
              <a:r>
                <a:rPr lang="es-MX" sz="1300" b="0" i="0">
                  <a:latin typeface="Cambria Math" panose="02040503050406030204" pitchFamily="18" charset="0"/>
                </a:rPr>
                <a:t>𝑜/</a:t>
              </a:r>
              <a:r>
                <a:rPr lang="es-MX" sz="13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𝜇_</a:t>
              </a:r>
              <a:r>
                <a:rPr lang="es-MX" sz="1300" b="0" i="0">
                  <a:latin typeface="Cambria Math" panose="02040503050406030204" pitchFamily="18" charset="0"/>
                </a:rPr>
                <a:t>𝑤 </a:t>
              </a:r>
              <a:r>
                <a:rPr lang="es-MX" sz="1300" i="0">
                  <a:latin typeface="Cambria Math" panose="02040503050406030204" pitchFamily="18" charset="0"/>
                  <a:ea typeface="Cambria Math" panose="02040503050406030204" pitchFamily="18" charset="0"/>
                </a:rPr>
                <a:t>×</a:t>
              </a:r>
              <a:r>
                <a:rPr lang="es-MX" sz="13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𝑓_𝑜𝐿/𝑓_𝑤𝐿 </a:t>
              </a:r>
              <a:endParaRPr lang="es-MX" sz="1300"/>
            </a:p>
          </xdr:txBody>
        </xdr:sp>
      </mc:Fallback>
    </mc:AlternateContent>
    <xdr:clientData/>
  </xdr:oneCellAnchor>
  <xdr:oneCellAnchor>
    <xdr:from>
      <xdr:col>16</xdr:col>
      <xdr:colOff>411162</xdr:colOff>
      <xdr:row>9</xdr:row>
      <xdr:rowOff>36512</xdr:rowOff>
    </xdr:from>
    <xdr:ext cx="490968" cy="65460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TextBox 28">
              <a:extLst>
                <a:ext uri="{FF2B5EF4-FFF2-40B4-BE49-F238E27FC236}">
                  <a16:creationId xmlns:a16="http://schemas.microsoft.com/office/drawing/2014/main" id="{BC5B72B8-3AF4-D74B-A2D8-AE0B10B0248B}"/>
                </a:ext>
              </a:extLst>
            </xdr:cNvPr>
            <xdr:cNvSpPr txBox="1"/>
          </xdr:nvSpPr>
          <xdr:spPr>
            <a:xfrm>
              <a:off x="26033412" y="2433637"/>
              <a:ext cx="490968" cy="65460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MX" sz="13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es-MX" sz="130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s-MX" sz="130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es-MX" sz="1300" b="0" i="1">
                                    <a:latin typeface="Cambria Math" panose="02040503050406030204" pitchFamily="18" charset="0"/>
                                  </a:rPr>
                                  <m:t>𝑞</m:t>
                                </m:r>
                              </m:num>
                              <m:den>
                                <m:r>
                                  <a:rPr lang="es-MX" sz="130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∆</m:t>
                                </m:r>
                                <m:r>
                                  <a:rPr lang="es-MX" sz="13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𝑃</m:t>
                                </m:r>
                              </m:den>
                            </m:f>
                          </m:e>
                        </m:d>
                      </m:num>
                      <m:den>
                        <m:sSub>
                          <m:sSubPr>
                            <m:ctrlPr>
                              <a:rPr lang="es-MX" sz="13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d>
                              <m:dPr>
                                <m:ctrlPr>
                                  <a:rPr lang="es-MX" sz="130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MX" sz="130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MX" sz="1300" b="0" i="1">
                                        <a:latin typeface="Cambria Math" panose="02040503050406030204" pitchFamily="18" charset="0"/>
                                      </a:rPr>
                                      <m:t>𝑞</m:t>
                                    </m:r>
                                  </m:num>
                                  <m:den>
                                    <m:r>
                                      <a:rPr lang="es-MX" sz="130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∆</m:t>
                                    </m:r>
                                    <m:r>
                                      <a:rPr lang="es-MX" sz="13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𝑃</m:t>
                                    </m:r>
                                  </m:den>
                                </m:f>
                              </m:e>
                            </m:d>
                          </m:e>
                          <m:sub>
                            <m:r>
                              <a:rPr lang="es-MX" sz="1300" b="0" i="1">
                                <a:latin typeface="Cambria Math" panose="02040503050406030204" pitchFamily="18" charset="0"/>
                              </a:rPr>
                              <m:t>𝑏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s-MX" sz="1300"/>
            </a:p>
          </xdr:txBody>
        </xdr:sp>
      </mc:Choice>
      <mc:Fallback xmlns="">
        <xdr:sp macro="" textlink="">
          <xdr:nvSpPr>
            <xdr:cNvPr id="29" name="TextBox 28">
              <a:extLst>
                <a:ext uri="{FF2B5EF4-FFF2-40B4-BE49-F238E27FC236}">
                  <a16:creationId xmlns:a16="http://schemas.microsoft.com/office/drawing/2014/main" id="{BC5B72B8-3AF4-D74B-A2D8-AE0B10B0248B}"/>
                </a:ext>
              </a:extLst>
            </xdr:cNvPr>
            <xdr:cNvSpPr txBox="1"/>
          </xdr:nvSpPr>
          <xdr:spPr>
            <a:xfrm>
              <a:off x="26033412" y="2433637"/>
              <a:ext cx="490968" cy="65460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spAutoFit/>
            </a:bodyPr>
            <a:lstStyle/>
            <a:p>
              <a:pPr/>
              <a:r>
                <a:rPr lang="es-MX" sz="1300" i="0">
                  <a:latin typeface="Cambria Math" panose="02040503050406030204" pitchFamily="18" charset="0"/>
                </a:rPr>
                <a:t>((</a:t>
              </a:r>
              <a:r>
                <a:rPr lang="es-MX" sz="1300" b="0" i="0">
                  <a:latin typeface="Cambria Math" panose="02040503050406030204" pitchFamily="18" charset="0"/>
                </a:rPr>
                <a:t>𝑞/</a:t>
              </a:r>
              <a:r>
                <a:rPr lang="es-MX" sz="13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∆</a:t>
              </a:r>
              <a:r>
                <a:rPr lang="es-MX" sz="13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𝑃))/(</a:t>
              </a:r>
              <a:r>
                <a:rPr lang="es-MX" sz="1300" b="0" i="0">
                  <a:latin typeface="Cambria Math" panose="02040503050406030204" pitchFamily="18" charset="0"/>
                </a:rPr>
                <a:t>𝑞/</a:t>
              </a:r>
              <a:r>
                <a:rPr lang="es-MX" sz="13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∆</a:t>
              </a:r>
              <a:r>
                <a:rPr lang="es-MX" sz="13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𝑃)_</a:t>
              </a:r>
              <a:r>
                <a:rPr lang="es-MX" sz="1300" b="0" i="0">
                  <a:latin typeface="Cambria Math" panose="02040503050406030204" pitchFamily="18" charset="0"/>
                </a:rPr>
                <a:t>𝑏 </a:t>
              </a:r>
              <a:endParaRPr lang="es-MX" sz="1300"/>
            </a:p>
          </xdr:txBody>
        </xdr:sp>
      </mc:Fallback>
    </mc:AlternateContent>
    <xdr:clientData/>
  </xdr:oneCellAnchor>
  <xdr:oneCellAnchor>
    <xdr:from>
      <xdr:col>20</xdr:col>
      <xdr:colOff>1053192</xdr:colOff>
      <xdr:row>16</xdr:row>
      <xdr:rowOff>114299</xdr:rowOff>
    </xdr:from>
    <xdr:ext cx="65" cy="172227"/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D2980BDD-485F-DDE0-F0E4-D5ADD71821DC}"/>
            </a:ext>
          </a:extLst>
        </xdr:cNvPr>
        <xdr:cNvSpPr txBox="1"/>
      </xdr:nvSpPr>
      <xdr:spPr>
        <a:xfrm>
          <a:off x="31628442" y="4619624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1319802</xdr:colOff>
      <xdr:row>8</xdr:row>
      <xdr:rowOff>52871</xdr:rowOff>
    </xdr:from>
    <xdr:ext cx="243774" cy="22422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C57E884F-34CA-E0F0-3F62-728A0C5520FD}"/>
                </a:ext>
              </a:extLst>
            </xdr:cNvPr>
            <xdr:cNvSpPr txBox="1"/>
          </xdr:nvSpPr>
          <xdr:spPr>
            <a:xfrm>
              <a:off x="18202335" y="2965404"/>
              <a:ext cx="243774" cy="2242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acc>
                          <m:accPr>
                            <m:chr m:val="̅"/>
                            <m:ctrlPr>
                              <a:rPr lang="en-US" sz="1400" i="1">
                                <a:latin typeface="Cambria Math" panose="02040503050406030204" pitchFamily="18" charset="0"/>
                              </a:rPr>
                            </m:ctrlPr>
                          </m:accPr>
                          <m:e>
                            <m:r>
                              <m:rPr>
                                <m:sty m:val="p"/>
                              </m:rPr>
                              <a:rPr lang="es-ES" sz="1400" b="0" i="0">
                                <a:latin typeface="Cambria Math" panose="02040503050406030204" pitchFamily="18" charset="0"/>
                              </a:rPr>
                              <m:t>S</m:t>
                            </m:r>
                          </m:e>
                        </m:acc>
                      </m:e>
                      <m:sub>
                        <m:r>
                          <m:rPr>
                            <m:sty m:val="p"/>
                          </m:rPr>
                          <a:rPr lang="es-ES" sz="1400" b="0" i="0">
                            <a:latin typeface="Cambria Math" panose="02040503050406030204" pitchFamily="18" charset="0"/>
                          </a:rPr>
                          <m:t>w</m:t>
                        </m:r>
                      </m:sub>
                    </m:sSub>
                  </m:oMath>
                </m:oMathPara>
              </a14:m>
              <a:endParaRPr lang="en-US" sz="1400" i="0"/>
            </a:p>
          </xdr:txBody>
        </xdr:sp>
      </mc:Choice>
      <mc:Fallback xmlns="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C57E884F-34CA-E0F0-3F62-728A0C5520FD}"/>
                </a:ext>
              </a:extLst>
            </xdr:cNvPr>
            <xdr:cNvSpPr txBox="1"/>
          </xdr:nvSpPr>
          <xdr:spPr>
            <a:xfrm>
              <a:off x="18202335" y="2965404"/>
              <a:ext cx="243774" cy="2242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ES" sz="1400" b="0" i="0">
                  <a:latin typeface="Cambria Math" panose="02040503050406030204" pitchFamily="18" charset="0"/>
                </a:rPr>
                <a:t>S</a:t>
              </a:r>
              <a:r>
                <a:rPr lang="en-US" sz="1400" b="0" i="0">
                  <a:latin typeface="Cambria Math" panose="02040503050406030204" pitchFamily="18" charset="0"/>
                </a:rPr>
                <a:t> ̅_</a:t>
              </a:r>
              <a:r>
                <a:rPr lang="es-ES" sz="1400" b="0" i="0">
                  <a:latin typeface="Cambria Math" panose="02040503050406030204" pitchFamily="18" charset="0"/>
                </a:rPr>
                <a:t>w</a:t>
              </a:r>
              <a:endParaRPr lang="en-US" sz="1400" i="0"/>
            </a:p>
          </xdr:txBody>
        </xdr:sp>
      </mc:Fallback>
    </mc:AlternateContent>
    <xdr:clientData/>
  </xdr:oneCellAnchor>
  <xdr:twoCellAnchor>
    <xdr:from>
      <xdr:col>20</xdr:col>
      <xdr:colOff>101600</xdr:colOff>
      <xdr:row>9</xdr:row>
      <xdr:rowOff>16934</xdr:rowOff>
    </xdr:from>
    <xdr:to>
      <xdr:col>20</xdr:col>
      <xdr:colOff>1473200</xdr:colOff>
      <xdr:row>9</xdr:row>
      <xdr:rowOff>690034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63E33FB-42E8-8547-BA23-A996674AE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91867" y="3183467"/>
          <a:ext cx="1371600" cy="67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101600</xdr:colOff>
      <xdr:row>9</xdr:row>
      <xdr:rowOff>16934</xdr:rowOff>
    </xdr:from>
    <xdr:to>
      <xdr:col>19</xdr:col>
      <xdr:colOff>1473200</xdr:colOff>
      <xdr:row>9</xdr:row>
      <xdr:rowOff>690034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B1326EA-AD08-7E4D-956F-650D39789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2533" y="3183467"/>
          <a:ext cx="1371600" cy="6731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A990"/>
  <sheetViews>
    <sheetView showGridLines="0" tabSelected="1" zoomScale="53" zoomScaleNormal="53" workbookViewId="0">
      <selection activeCell="B53" sqref="B53"/>
    </sheetView>
  </sheetViews>
  <sheetFormatPr baseColWidth="10" defaultColWidth="14.5" defaultRowHeight="15" customHeight="1"/>
  <cols>
    <col min="1" max="1" width="5.1640625" customWidth="1"/>
    <col min="2" max="2" width="77.83203125" customWidth="1"/>
    <col min="3" max="3" width="16.6640625" customWidth="1"/>
    <col min="4" max="4" width="13.1640625" customWidth="1"/>
    <col min="5" max="5" width="9.1640625" customWidth="1"/>
    <col min="6" max="6" width="57.5" customWidth="1"/>
    <col min="7" max="7" width="25.5" customWidth="1"/>
    <col min="8" max="8" width="29.1640625" customWidth="1"/>
    <col min="9" max="9" width="25.1640625" style="85" customWidth="1"/>
    <col min="10" max="10" width="25.5" customWidth="1"/>
    <col min="11" max="11" width="18" customWidth="1"/>
    <col min="12" max="12" width="17.83203125" customWidth="1"/>
    <col min="13" max="13" width="13.83203125" customWidth="1"/>
    <col min="14" max="14" width="10.5" customWidth="1"/>
    <col min="15" max="15" width="17.6640625" customWidth="1"/>
    <col min="16" max="16" width="19.6640625" customWidth="1"/>
    <col min="17" max="17" width="12" customWidth="1"/>
    <col min="18" max="18" width="14.5" customWidth="1"/>
    <col min="19" max="19" width="17" customWidth="1"/>
    <col min="20" max="20" width="14.5" customWidth="1"/>
    <col min="21" max="21" width="7.1640625" customWidth="1"/>
    <col min="22" max="22" width="8.1640625" customWidth="1"/>
    <col min="23" max="23" width="17" customWidth="1"/>
    <col min="24" max="24" width="5.1640625" customWidth="1"/>
    <col min="25" max="25" width="15.5" customWidth="1"/>
    <col min="26" max="26" width="14.5" customWidth="1"/>
    <col min="27" max="27" width="14.6640625" customWidth="1"/>
  </cols>
  <sheetData>
    <row r="1" spans="2:22" ht="21" customHeight="1">
      <c r="G1" s="1"/>
    </row>
    <row r="2" spans="2:22" ht="21" customHeight="1">
      <c r="G2" s="1"/>
    </row>
    <row r="3" spans="2:22" ht="15" customHeight="1">
      <c r="B3" s="171" t="s">
        <v>32</v>
      </c>
      <c r="C3" s="171"/>
      <c r="D3" s="2"/>
      <c r="E3" s="2"/>
      <c r="F3" s="2"/>
      <c r="G3" s="171" t="s">
        <v>65</v>
      </c>
      <c r="H3" s="171"/>
      <c r="I3" s="171"/>
      <c r="K3" s="181" t="s">
        <v>83</v>
      </c>
      <c r="L3" s="181"/>
      <c r="M3" s="181"/>
      <c r="N3" s="58"/>
      <c r="O3" s="181" t="s">
        <v>84</v>
      </c>
      <c r="P3" s="181"/>
      <c r="Q3" s="181"/>
      <c r="S3" s="181" t="s">
        <v>85</v>
      </c>
      <c r="T3" s="181"/>
      <c r="U3" s="181"/>
      <c r="V3" s="181"/>
    </row>
    <row r="4" spans="2:22" ht="23.25" customHeight="1">
      <c r="B4" s="171"/>
      <c r="C4" s="171"/>
      <c r="D4" s="2"/>
      <c r="E4" s="2"/>
      <c r="F4" s="2"/>
      <c r="G4" s="171"/>
      <c r="H4" s="171"/>
      <c r="I4" s="171"/>
      <c r="K4" s="181"/>
      <c r="L4" s="181"/>
      <c r="M4" s="181"/>
      <c r="N4" s="58"/>
      <c r="O4" s="181"/>
      <c r="P4" s="181"/>
      <c r="Q4" s="181"/>
      <c r="S4" s="181"/>
      <c r="T4" s="181"/>
      <c r="U4" s="181"/>
      <c r="V4" s="181"/>
    </row>
    <row r="5" spans="2:22" ht="27" customHeight="1">
      <c r="G5" s="171"/>
      <c r="H5" s="171"/>
      <c r="I5" s="171"/>
      <c r="K5" s="181"/>
      <c r="L5" s="181"/>
      <c r="M5" s="181"/>
      <c r="N5" s="58"/>
      <c r="O5" s="181"/>
      <c r="P5" s="181"/>
      <c r="Q5" s="181"/>
      <c r="S5" s="181"/>
      <c r="T5" s="181"/>
      <c r="U5" s="181"/>
      <c r="V5" s="181"/>
    </row>
    <row r="6" spans="2:22" ht="22.5" customHeight="1">
      <c r="B6" s="177" t="s">
        <v>0</v>
      </c>
      <c r="C6" s="178"/>
      <c r="D6" s="37"/>
      <c r="G6" s="2"/>
      <c r="H6" s="2"/>
      <c r="I6" s="84"/>
    </row>
    <row r="7" spans="2:22" ht="30" customHeight="1">
      <c r="B7" s="39" t="s">
        <v>48</v>
      </c>
      <c r="C7" s="40">
        <v>2000</v>
      </c>
      <c r="D7" s="41" t="s">
        <v>28</v>
      </c>
      <c r="G7" s="115" t="s">
        <v>63</v>
      </c>
      <c r="H7" s="116" t="s">
        <v>68</v>
      </c>
      <c r="I7" s="86"/>
      <c r="J7" s="119"/>
      <c r="K7" s="182" t="s">
        <v>13</v>
      </c>
      <c r="L7" s="183"/>
      <c r="M7" s="59"/>
      <c r="N7" s="59"/>
      <c r="O7" s="187" t="s">
        <v>76</v>
      </c>
      <c r="P7" s="187"/>
      <c r="Q7" s="59"/>
      <c r="R7" s="59"/>
      <c r="S7" s="186" t="s">
        <v>77</v>
      </c>
      <c r="T7" s="186"/>
    </row>
    <row r="8" spans="2:22" ht="34" customHeight="1">
      <c r="B8" s="39" t="s">
        <v>47</v>
      </c>
      <c r="C8" s="40">
        <v>14.7</v>
      </c>
      <c r="D8" s="41" t="s">
        <v>28</v>
      </c>
      <c r="G8" s="172" t="s">
        <v>4</v>
      </c>
      <c r="H8" s="172"/>
      <c r="I8" s="87"/>
      <c r="J8" s="59"/>
      <c r="K8" s="60" t="s">
        <v>70</v>
      </c>
      <c r="L8" s="56" t="s">
        <v>78</v>
      </c>
      <c r="M8" s="59"/>
      <c r="N8" s="59"/>
      <c r="O8" s="69" t="s">
        <v>70</v>
      </c>
      <c r="P8" s="69" t="s">
        <v>79</v>
      </c>
      <c r="Q8" s="59"/>
      <c r="R8" s="59"/>
      <c r="S8" s="75" t="s">
        <v>70</v>
      </c>
      <c r="T8" s="74" t="s">
        <v>78</v>
      </c>
    </row>
    <row r="9" spans="2:22" ht="20.25" customHeight="1">
      <c r="B9" s="39" t="s">
        <v>46</v>
      </c>
      <c r="C9" s="40">
        <v>20</v>
      </c>
      <c r="D9" s="41" t="s">
        <v>33</v>
      </c>
      <c r="G9" s="117">
        <v>0</v>
      </c>
      <c r="H9" s="117">
        <v>0</v>
      </c>
      <c r="I9" s="88"/>
      <c r="J9" s="119"/>
      <c r="K9" s="62">
        <f t="shared" ref="K9:K33" si="0">G10*$C$21/$C$17</f>
        <v>0.23534949399858818</v>
      </c>
      <c r="L9" s="62">
        <f>($C$31*$C$21*$C$11*$C$19)/($C$13*H10)</f>
        <v>2083.3193316101529</v>
      </c>
      <c r="M9" s="59"/>
      <c r="N9" s="59"/>
      <c r="O9" s="120">
        <f t="shared" ref="O9:O33" si="1">G37*$C$22/$C$17</f>
        <v>0.23534949399858818</v>
      </c>
      <c r="P9" s="73">
        <f>($C$31*$C$21*$C$11*$C$20)/($C$13*H37)</f>
        <v>549.99630354508031</v>
      </c>
      <c r="Q9" s="59"/>
      <c r="R9" s="59"/>
      <c r="S9" s="61">
        <f t="shared" ref="S9:S33" si="2">G63*$C$23/$C$17</f>
        <v>0</v>
      </c>
      <c r="T9" s="62">
        <f>($C$31*$C$21*$C$11*$C$19)/($C$13*H63)</f>
        <v>5.0402887055084351</v>
      </c>
    </row>
    <row r="10" spans="2:22" ht="21.75" customHeight="1">
      <c r="B10" s="174" t="s">
        <v>1</v>
      </c>
      <c r="C10" s="175"/>
      <c r="D10" s="38"/>
      <c r="G10" s="16">
        <v>3</v>
      </c>
      <c r="H10" s="16">
        <v>0.06</v>
      </c>
      <c r="I10" s="88"/>
      <c r="J10" s="59"/>
      <c r="K10" s="62">
        <f t="shared" si="0"/>
        <v>0.47069898799717635</v>
      </c>
      <c r="L10" s="62">
        <f t="shared" ref="L10:L33" si="3">($C$31*$C$21*$C$11*$C$19)/($C$13*H11)</f>
        <v>124.99915989660917</v>
      </c>
      <c r="M10" s="59"/>
      <c r="N10" s="59"/>
      <c r="O10" s="72">
        <f t="shared" si="1"/>
        <v>0.47069898799717635</v>
      </c>
      <c r="P10" s="73">
        <f t="shared" ref="P10:P33" si="4">($C$31*$C$21*$C$11*$C$20)/($C$13*H38)</f>
        <v>263.40819135300785</v>
      </c>
      <c r="Q10" s="59"/>
      <c r="R10" s="59"/>
      <c r="S10" s="61">
        <f t="shared" si="2"/>
        <v>0.23534949399858818</v>
      </c>
      <c r="T10" s="62">
        <f t="shared" ref="T10:T33" si="5">($C$31*$C$21*$C$11*$C$19)/($C$13*H64)</f>
        <v>6.7934326030765861</v>
      </c>
    </row>
    <row r="11" spans="2:22" ht="21.75" customHeight="1">
      <c r="B11" s="39" t="s">
        <v>41</v>
      </c>
      <c r="C11" s="40">
        <v>5.7969999999999997</v>
      </c>
      <c r="D11" s="41" t="s">
        <v>34</v>
      </c>
      <c r="G11" s="16">
        <v>6</v>
      </c>
      <c r="H11" s="16">
        <v>1</v>
      </c>
      <c r="I11" s="88"/>
      <c r="J11" s="59"/>
      <c r="K11" s="62">
        <f t="shared" si="0"/>
        <v>0.70604848199576453</v>
      </c>
      <c r="L11" s="62">
        <f t="shared" si="3"/>
        <v>60.97519994956545</v>
      </c>
      <c r="M11" s="59"/>
      <c r="N11" s="59"/>
      <c r="O11" s="72">
        <f t="shared" si="1"/>
        <v>0.70604848199576453</v>
      </c>
      <c r="P11" s="73">
        <f t="shared" si="4"/>
        <v>153.11701100920945</v>
      </c>
      <c r="Q11" s="59"/>
      <c r="R11" s="59"/>
      <c r="S11" s="61">
        <f t="shared" si="2"/>
        <v>0.47069898799717635</v>
      </c>
      <c r="T11" s="62">
        <f t="shared" si="5"/>
        <v>8.5615862942882988</v>
      </c>
    </row>
    <row r="12" spans="2:22" ht="18">
      <c r="B12" s="39" t="s">
        <v>42</v>
      </c>
      <c r="C12" s="40">
        <v>3.8029999999999999</v>
      </c>
      <c r="D12" s="41" t="s">
        <v>34</v>
      </c>
      <c r="G12" s="16">
        <v>9</v>
      </c>
      <c r="H12" s="16">
        <v>2.0499999999999998</v>
      </c>
      <c r="I12" s="88"/>
      <c r="J12" s="59"/>
      <c r="K12" s="62">
        <f t="shared" si="0"/>
        <v>0.94139797599435271</v>
      </c>
      <c r="L12" s="62">
        <f t="shared" si="3"/>
        <v>56.053434931214873</v>
      </c>
      <c r="M12" s="59"/>
      <c r="N12" s="59"/>
      <c r="O12" s="72">
        <f t="shared" si="1"/>
        <v>0.94139797599435271</v>
      </c>
      <c r="P12" s="73">
        <f t="shared" si="4"/>
        <v>107.92706113521984</v>
      </c>
      <c r="Q12" s="59"/>
      <c r="R12" s="59"/>
      <c r="S12" s="61">
        <f t="shared" si="2"/>
        <v>0.70604848199576453</v>
      </c>
      <c r="T12" s="62">
        <f t="shared" si="5"/>
        <v>10.869492164922535</v>
      </c>
    </row>
    <row r="13" spans="2:22" ht="18.75" customHeight="1">
      <c r="B13" s="39" t="s">
        <v>55</v>
      </c>
      <c r="C13" s="40">
        <f>(PI()*C12^2)/4</f>
        <v>11.359063626168085</v>
      </c>
      <c r="D13" s="41" t="s">
        <v>50</v>
      </c>
      <c r="G13" s="16">
        <v>12</v>
      </c>
      <c r="H13" s="16">
        <v>2.23</v>
      </c>
      <c r="I13" s="88"/>
      <c r="J13" s="59"/>
      <c r="K13" s="62">
        <f t="shared" si="0"/>
        <v>1.1767474699929408</v>
      </c>
      <c r="L13" s="62">
        <f t="shared" si="3"/>
        <v>54.347460824612689</v>
      </c>
      <c r="M13" s="59"/>
      <c r="N13" s="59"/>
      <c r="O13" s="72">
        <f t="shared" si="1"/>
        <v>1.1767474699929408</v>
      </c>
      <c r="P13" s="73">
        <f t="shared" si="4"/>
        <v>105.12161765005358</v>
      </c>
      <c r="Q13" s="59"/>
      <c r="R13" s="59"/>
      <c r="S13" s="61">
        <f t="shared" si="2"/>
        <v>0.94139797599435271</v>
      </c>
      <c r="T13" s="62">
        <f t="shared" si="5"/>
        <v>10.162533324927574</v>
      </c>
    </row>
    <row r="14" spans="2:22" ht="20.25" customHeight="1">
      <c r="B14" s="44" t="s">
        <v>36</v>
      </c>
      <c r="C14" s="45">
        <v>138.53700000000001</v>
      </c>
      <c r="D14" s="41" t="s">
        <v>35</v>
      </c>
      <c r="G14" s="16">
        <v>15</v>
      </c>
      <c r="H14" s="16">
        <v>2.2999999999999998</v>
      </c>
      <c r="I14" s="88"/>
      <c r="J14" s="59"/>
      <c r="K14" s="62">
        <f t="shared" si="0"/>
        <v>1.4120969639915291</v>
      </c>
      <c r="L14" s="62">
        <f t="shared" si="3"/>
        <v>50.812666624637878</v>
      </c>
      <c r="M14" s="59"/>
      <c r="N14" s="59"/>
      <c r="O14" s="72">
        <f t="shared" si="1"/>
        <v>1.4120969639915291</v>
      </c>
      <c r="P14" s="73">
        <f t="shared" si="4"/>
        <v>108.95330894316172</v>
      </c>
      <c r="Q14" s="59"/>
      <c r="R14" s="59"/>
      <c r="S14" s="61">
        <f t="shared" si="2"/>
        <v>1.1767474699929408</v>
      </c>
      <c r="T14" s="62">
        <f t="shared" si="5"/>
        <v>5.7603299491524966</v>
      </c>
    </row>
    <row r="15" spans="2:22" ht="18.75" customHeight="1">
      <c r="B15" s="39" t="s">
        <v>43</v>
      </c>
      <c r="C15" s="45">
        <v>151.28399999999999</v>
      </c>
      <c r="D15" s="41" t="s">
        <v>35</v>
      </c>
      <c r="G15" s="16">
        <v>18</v>
      </c>
      <c r="H15" s="16">
        <v>2.46</v>
      </c>
      <c r="I15" s="88"/>
      <c r="J15" s="59"/>
      <c r="K15" s="62">
        <f t="shared" si="0"/>
        <v>1.6474464579901171</v>
      </c>
      <c r="L15" s="62">
        <f t="shared" si="3"/>
        <v>48.827796834612961</v>
      </c>
      <c r="M15" s="59"/>
      <c r="N15" s="59"/>
      <c r="O15" s="72">
        <f t="shared" si="1"/>
        <v>1.6474464579901171</v>
      </c>
      <c r="P15" s="73">
        <f t="shared" si="4"/>
        <v>114.58256323855841</v>
      </c>
      <c r="Q15" s="59"/>
      <c r="R15" s="59"/>
      <c r="S15" s="61">
        <f t="shared" si="2"/>
        <v>1.4120969639915291</v>
      </c>
      <c r="T15" s="62">
        <f t="shared" si="5"/>
        <v>4.0716338728537194</v>
      </c>
    </row>
    <row r="16" spans="2:22" ht="20.25" customHeight="1">
      <c r="B16" s="39" t="s">
        <v>60</v>
      </c>
      <c r="C16" s="45">
        <v>1</v>
      </c>
      <c r="D16" s="41" t="s">
        <v>51</v>
      </c>
      <c r="F16" s="121" t="s">
        <v>56</v>
      </c>
      <c r="G16" s="16">
        <v>21</v>
      </c>
      <c r="H16" s="16">
        <v>2.56</v>
      </c>
      <c r="I16" s="88"/>
      <c r="J16" s="59"/>
      <c r="K16" s="62">
        <f t="shared" si="0"/>
        <v>1.8827959519887054</v>
      </c>
      <c r="L16" s="62">
        <f t="shared" si="3"/>
        <v>45.787238057365997</v>
      </c>
      <c r="M16" s="59"/>
      <c r="N16" s="59"/>
      <c r="O16" s="72">
        <f t="shared" si="1"/>
        <v>1.8827959519887054</v>
      </c>
      <c r="P16" s="73">
        <f t="shared" si="4"/>
        <v>119.98174161105594</v>
      </c>
      <c r="Q16" s="59"/>
      <c r="R16" s="59"/>
      <c r="S16" s="61">
        <f t="shared" si="2"/>
        <v>1.6474464579901171</v>
      </c>
      <c r="T16" s="62">
        <f t="shared" si="5"/>
        <v>3.1645356935850422</v>
      </c>
    </row>
    <row r="17" spans="2:27" ht="19.5" customHeight="1">
      <c r="B17" s="39" t="s">
        <v>59</v>
      </c>
      <c r="C17" s="40">
        <f>(C15-C14)/C16</f>
        <v>12.746999999999986</v>
      </c>
      <c r="D17" s="41" t="s">
        <v>53</v>
      </c>
      <c r="G17" s="16">
        <v>24</v>
      </c>
      <c r="H17" s="16">
        <v>2.73</v>
      </c>
      <c r="I17" s="88"/>
      <c r="J17" s="59"/>
      <c r="K17" s="62">
        <f t="shared" si="0"/>
        <v>2.1181454459872935</v>
      </c>
      <c r="L17" s="62">
        <f t="shared" si="3"/>
        <v>44.325943225747935</v>
      </c>
      <c r="M17" s="59"/>
      <c r="N17" s="59"/>
      <c r="O17" s="72">
        <f t="shared" si="1"/>
        <v>2.1181454459872935</v>
      </c>
      <c r="P17" s="73">
        <f t="shared" si="4"/>
        <v>124.09663888652537</v>
      </c>
      <c r="Q17" s="59"/>
      <c r="R17" s="59"/>
      <c r="S17" s="61">
        <f t="shared" si="2"/>
        <v>1.8827959519887054</v>
      </c>
      <c r="T17" s="62">
        <f t="shared" si="5"/>
        <v>2.5879743249815568</v>
      </c>
    </row>
    <row r="18" spans="2:27" ht="18" customHeight="1">
      <c r="B18" s="39" t="s">
        <v>61</v>
      </c>
      <c r="C18" s="40">
        <f>C17/(C13*C11)*100</f>
        <v>19.358074336462224</v>
      </c>
      <c r="D18" s="41" t="s">
        <v>37</v>
      </c>
      <c r="G18" s="16">
        <v>27</v>
      </c>
      <c r="H18" s="16">
        <v>2.82</v>
      </c>
      <c r="I18" s="88"/>
      <c r="J18" s="59"/>
      <c r="K18" s="62">
        <f t="shared" si="0"/>
        <v>2.3534949399858816</v>
      </c>
      <c r="L18" s="62">
        <f t="shared" si="3"/>
        <v>42.95503776515779</v>
      </c>
      <c r="M18" s="59"/>
      <c r="N18" s="59"/>
      <c r="O18" s="72">
        <f t="shared" si="1"/>
        <v>2.3534949399858816</v>
      </c>
      <c r="P18" s="73">
        <f t="shared" si="4"/>
        <v>127.55016315980528</v>
      </c>
      <c r="Q18" s="59"/>
      <c r="R18" s="59"/>
      <c r="S18" s="61">
        <f t="shared" si="2"/>
        <v>2.1181454459872935</v>
      </c>
      <c r="T18" s="62">
        <f t="shared" si="5"/>
        <v>2.204570721280585</v>
      </c>
    </row>
    <row r="19" spans="2:27" ht="18" customHeight="1">
      <c r="B19" s="39" t="s">
        <v>67</v>
      </c>
      <c r="C19" s="45">
        <v>1</v>
      </c>
      <c r="D19" s="41" t="s">
        <v>38</v>
      </c>
      <c r="G19" s="16">
        <v>30</v>
      </c>
      <c r="H19" s="16">
        <v>2.91</v>
      </c>
      <c r="I19" s="88"/>
      <c r="J19" s="59"/>
      <c r="K19" s="62">
        <f t="shared" si="0"/>
        <v>2.5888444339844701</v>
      </c>
      <c r="L19" s="62">
        <f t="shared" si="3"/>
        <v>42.087259224447529</v>
      </c>
      <c r="M19" s="59"/>
      <c r="N19" s="59"/>
      <c r="O19" s="72">
        <f t="shared" si="1"/>
        <v>2.5888444339844701</v>
      </c>
      <c r="P19" s="73">
        <f t="shared" si="4"/>
        <v>130.20745822563458</v>
      </c>
      <c r="Q19" s="59"/>
      <c r="R19" s="59"/>
      <c r="S19" s="61">
        <f t="shared" si="2"/>
        <v>2.3534949399858816</v>
      </c>
      <c r="T19" s="62">
        <f t="shared" si="5"/>
        <v>1.8996832811034827</v>
      </c>
    </row>
    <row r="20" spans="2:27" ht="18" customHeight="1">
      <c r="B20" s="55" t="s">
        <v>75</v>
      </c>
      <c r="C20" s="46">
        <v>55</v>
      </c>
      <c r="D20" s="47" t="s">
        <v>39</v>
      </c>
      <c r="F20" s="3"/>
      <c r="G20" s="16">
        <v>33</v>
      </c>
      <c r="H20" s="16">
        <v>2.97</v>
      </c>
      <c r="I20" s="88"/>
      <c r="J20" s="59"/>
      <c r="K20" s="62">
        <f t="shared" si="0"/>
        <v>2.8241939279830581</v>
      </c>
      <c r="L20" s="62">
        <f t="shared" si="3"/>
        <v>40.716338728537195</v>
      </c>
      <c r="M20" s="59"/>
      <c r="N20" s="59"/>
      <c r="O20" s="72">
        <f t="shared" si="1"/>
        <v>2.8241939279830581</v>
      </c>
      <c r="P20" s="73">
        <f t="shared" si="4"/>
        <v>133.23553864948653</v>
      </c>
      <c r="Q20" s="59"/>
      <c r="R20" s="59"/>
      <c r="S20" s="61">
        <f t="shared" si="2"/>
        <v>2.5888444339844701</v>
      </c>
      <c r="T20" s="62">
        <f t="shared" si="5"/>
        <v>1.7053091391079014</v>
      </c>
    </row>
    <row r="21" spans="2:27" ht="20" customHeight="1">
      <c r="B21" s="44" t="s">
        <v>40</v>
      </c>
      <c r="C21" s="45">
        <v>1</v>
      </c>
      <c r="D21" s="41" t="s">
        <v>52</v>
      </c>
      <c r="F21" s="4"/>
      <c r="G21" s="16">
        <v>36</v>
      </c>
      <c r="H21" s="16">
        <v>3.07</v>
      </c>
      <c r="I21" s="88"/>
      <c r="J21" s="59"/>
      <c r="K21" s="62">
        <f t="shared" si="0"/>
        <v>3.0595434219816462</v>
      </c>
      <c r="L21" s="62">
        <f t="shared" si="3"/>
        <v>39.55669616981303</v>
      </c>
      <c r="M21" s="59"/>
      <c r="N21" s="59"/>
      <c r="O21" s="72">
        <f t="shared" si="1"/>
        <v>3.0595434219816462</v>
      </c>
      <c r="P21" s="73">
        <f t="shared" si="4"/>
        <v>134.53921319595901</v>
      </c>
      <c r="Q21" s="59"/>
      <c r="R21" s="59"/>
      <c r="S21" s="61">
        <f t="shared" si="2"/>
        <v>2.8241939279830581</v>
      </c>
      <c r="T21" s="62">
        <f t="shared" si="5"/>
        <v>1.6212601802413642</v>
      </c>
    </row>
    <row r="22" spans="2:27" ht="20.25" customHeight="1">
      <c r="B22" s="39" t="s">
        <v>66</v>
      </c>
      <c r="C22" s="45">
        <v>1</v>
      </c>
      <c r="D22" s="41" t="s">
        <v>52</v>
      </c>
      <c r="F22" s="4"/>
      <c r="G22" s="16">
        <v>39</v>
      </c>
      <c r="H22" s="16">
        <v>3.16</v>
      </c>
      <c r="I22" s="88"/>
      <c r="J22" s="59"/>
      <c r="K22" s="62">
        <f t="shared" si="0"/>
        <v>3.2948929159802343</v>
      </c>
      <c r="L22" s="62">
        <f t="shared" si="3"/>
        <v>38.819614874723342</v>
      </c>
      <c r="M22" s="59"/>
      <c r="N22" s="59"/>
      <c r="O22" s="72">
        <f t="shared" si="1"/>
        <v>3.2948929159802343</v>
      </c>
      <c r="P22" s="73">
        <f t="shared" si="4"/>
        <v>136.40781337923622</v>
      </c>
      <c r="Q22" s="59"/>
      <c r="R22" s="59"/>
      <c r="S22" s="61">
        <f t="shared" si="2"/>
        <v>3.0595434219816462</v>
      </c>
      <c r="T22" s="62">
        <f t="shared" si="5"/>
        <v>1.5903201004657657</v>
      </c>
    </row>
    <row r="23" spans="2:27" ht="21" customHeight="1">
      <c r="B23" s="39" t="s">
        <v>62</v>
      </c>
      <c r="C23" s="45">
        <v>1</v>
      </c>
      <c r="D23" s="41" t="s">
        <v>52</v>
      </c>
      <c r="G23" s="16">
        <v>42</v>
      </c>
      <c r="H23" s="16">
        <v>3.22</v>
      </c>
      <c r="I23" s="88"/>
      <c r="J23" s="59"/>
      <c r="K23" s="62">
        <f t="shared" si="0"/>
        <v>3.5302424099788223</v>
      </c>
      <c r="L23" s="62">
        <f t="shared" si="3"/>
        <v>38.226042781837663</v>
      </c>
      <c r="M23" s="59"/>
      <c r="N23" s="59"/>
      <c r="O23" s="72">
        <f t="shared" si="1"/>
        <v>3.5302424099788223</v>
      </c>
      <c r="P23" s="73">
        <f t="shared" si="4"/>
        <v>138.05128101031133</v>
      </c>
      <c r="Q23" s="59"/>
      <c r="R23" s="59"/>
      <c r="S23" s="61">
        <f t="shared" si="2"/>
        <v>3.2948929159802343</v>
      </c>
      <c r="T23" s="62">
        <f t="shared" si="5"/>
        <v>1.5723164766869078</v>
      </c>
    </row>
    <row r="24" spans="2:27" ht="20.25" customHeight="1">
      <c r="B24" s="174" t="s">
        <v>2</v>
      </c>
      <c r="C24" s="175"/>
      <c r="D24" s="36"/>
      <c r="E24" s="6"/>
      <c r="G24" s="16">
        <v>45</v>
      </c>
      <c r="H24" s="16">
        <v>3.27</v>
      </c>
      <c r="I24" s="88"/>
      <c r="J24" s="59"/>
      <c r="K24" s="62">
        <f t="shared" si="0"/>
        <v>3.7655919039774108</v>
      </c>
      <c r="L24" s="62">
        <f t="shared" si="3"/>
        <v>37.424898172637477</v>
      </c>
      <c r="M24" s="59"/>
      <c r="N24" s="59"/>
      <c r="O24" s="72">
        <f t="shared" si="1"/>
        <v>3.7655919039774108</v>
      </c>
      <c r="P24" s="73">
        <f t="shared" si="4"/>
        <v>139.73483321775416</v>
      </c>
      <c r="Q24" s="59"/>
      <c r="R24" s="59"/>
      <c r="S24" s="61">
        <f t="shared" si="2"/>
        <v>3.5302424099788223</v>
      </c>
      <c r="T24" s="62">
        <f t="shared" si="5"/>
        <v>1.5566520535069635</v>
      </c>
    </row>
    <row r="25" spans="2:27" ht="20.25" customHeight="1">
      <c r="B25" s="39" t="s">
        <v>58</v>
      </c>
      <c r="C25" s="42">
        <v>0.5</v>
      </c>
      <c r="D25" s="43" t="s">
        <v>49</v>
      </c>
      <c r="E25" s="6"/>
      <c r="G25" s="16">
        <v>48</v>
      </c>
      <c r="H25" s="16">
        <v>3.34</v>
      </c>
      <c r="I25" s="88"/>
      <c r="J25" s="59"/>
      <c r="K25" s="62">
        <f t="shared" si="0"/>
        <v>4.0009413979759989</v>
      </c>
      <c r="L25" s="62">
        <f t="shared" si="3"/>
        <v>37.091738841723789</v>
      </c>
      <c r="M25" s="59"/>
      <c r="N25" s="59"/>
      <c r="O25" s="72">
        <f t="shared" si="1"/>
        <v>4.0009413979759989</v>
      </c>
      <c r="P25" s="73">
        <f t="shared" si="4"/>
        <v>141.16948242943542</v>
      </c>
      <c r="Q25" s="59"/>
      <c r="R25" s="59"/>
      <c r="S25" s="61">
        <f t="shared" si="2"/>
        <v>3.7655919039774108</v>
      </c>
      <c r="T25" s="62">
        <f t="shared" si="5"/>
        <v>1.5431995048964096</v>
      </c>
    </row>
    <row r="26" spans="2:27" ht="21" customHeight="1">
      <c r="B26" s="39" t="s">
        <v>87</v>
      </c>
      <c r="C26" s="40">
        <v>8</v>
      </c>
      <c r="D26" s="48" t="s">
        <v>53</v>
      </c>
      <c r="E26" s="9"/>
      <c r="F26" s="33"/>
      <c r="G26" s="16">
        <v>51</v>
      </c>
      <c r="H26" s="16">
        <v>3.37</v>
      </c>
      <c r="I26" s="88"/>
      <c r="J26" s="59"/>
      <c r="K26" s="62">
        <f t="shared" si="0"/>
        <v>4.236290891974587</v>
      </c>
      <c r="L26" s="62">
        <f t="shared" si="3"/>
        <v>36.656645130970432</v>
      </c>
      <c r="M26" s="59"/>
      <c r="N26" s="59"/>
      <c r="O26" s="72">
        <f t="shared" si="1"/>
        <v>4.236290891974587</v>
      </c>
      <c r="P26" s="73">
        <f t="shared" si="4"/>
        <v>142.3385878739856</v>
      </c>
      <c r="Q26" s="59"/>
      <c r="R26" s="59"/>
      <c r="S26" s="61">
        <f t="shared" si="2"/>
        <v>4.0009413979759989</v>
      </c>
      <c r="T26" s="62">
        <f t="shared" si="5"/>
        <v>1.5318524497133479</v>
      </c>
    </row>
    <row r="27" spans="2:27" ht="21.75" customHeight="1">
      <c r="B27" s="39" t="s">
        <v>54</v>
      </c>
      <c r="C27" s="40">
        <v>6.8</v>
      </c>
      <c r="D27" s="48" t="s">
        <v>53</v>
      </c>
      <c r="E27" s="9"/>
      <c r="F27" s="34"/>
      <c r="G27" s="16">
        <v>54</v>
      </c>
      <c r="H27" s="16">
        <v>3.41</v>
      </c>
      <c r="I27" s="88"/>
      <c r="J27" s="59"/>
      <c r="K27" s="62">
        <f t="shared" si="0"/>
        <v>4.471640385973175</v>
      </c>
      <c r="L27" s="62">
        <f t="shared" si="3"/>
        <v>36.3369650862236</v>
      </c>
      <c r="M27" s="59"/>
      <c r="N27" s="59"/>
      <c r="O27" s="72">
        <f t="shared" si="1"/>
        <v>4.471640385973175</v>
      </c>
      <c r="P27" s="73">
        <f t="shared" si="4"/>
        <v>143.82748523668423</v>
      </c>
      <c r="Q27" s="59"/>
      <c r="R27" s="59"/>
      <c r="S27" s="61">
        <f t="shared" si="2"/>
        <v>4.236290891974587</v>
      </c>
      <c r="T27" s="62">
        <f t="shared" si="5"/>
        <v>1.522523263052487</v>
      </c>
    </row>
    <row r="28" spans="2:27" ht="16.5" customHeight="1">
      <c r="B28" s="39" t="s">
        <v>44</v>
      </c>
      <c r="C28" s="40">
        <f>1-(C26-C25)/C17</f>
        <v>0.41162626500352961</v>
      </c>
      <c r="D28" s="49"/>
      <c r="E28" s="10"/>
      <c r="G28" s="16">
        <v>57</v>
      </c>
      <c r="H28" s="16">
        <v>3.44</v>
      </c>
      <c r="I28" s="88"/>
      <c r="J28" s="59"/>
      <c r="K28" s="62">
        <f t="shared" si="0"/>
        <v>4.7069898799717631</v>
      </c>
      <c r="L28" s="62">
        <f t="shared" si="3"/>
        <v>36.126924825609592</v>
      </c>
      <c r="M28" s="59"/>
      <c r="N28" s="59"/>
      <c r="O28" s="72">
        <f t="shared" si="1"/>
        <v>4.7069898799717631</v>
      </c>
      <c r="P28" s="73">
        <f t="shared" si="4"/>
        <v>145.04121928931445</v>
      </c>
      <c r="Q28" s="59"/>
      <c r="R28" s="59"/>
      <c r="S28" s="61">
        <f t="shared" si="2"/>
        <v>4.471640385973175</v>
      </c>
      <c r="T28" s="62">
        <f t="shared" si="5"/>
        <v>1.5169800958326356</v>
      </c>
    </row>
    <row r="29" spans="2:27" ht="15.75" customHeight="1">
      <c r="B29" s="39" t="s">
        <v>45</v>
      </c>
      <c r="C29" s="122">
        <f>((C26-C25)-(C27-C25))/C17</f>
        <v>9.4139797599435276E-2</v>
      </c>
      <c r="D29" s="49"/>
      <c r="E29" s="10"/>
      <c r="G29" s="16">
        <v>60</v>
      </c>
      <c r="H29" s="16">
        <v>3.46</v>
      </c>
      <c r="I29" s="88"/>
      <c r="J29" s="59"/>
      <c r="K29" s="62">
        <f t="shared" si="0"/>
        <v>4.9423393739703512</v>
      </c>
      <c r="L29" s="62">
        <f t="shared" si="3"/>
        <v>35.919298820864711</v>
      </c>
      <c r="M29" s="59"/>
      <c r="N29" s="59"/>
      <c r="O29" s="72">
        <f t="shared" si="1"/>
        <v>4.9423393739703512</v>
      </c>
      <c r="P29" s="73">
        <f t="shared" si="4"/>
        <v>146.27561264496819</v>
      </c>
      <c r="Q29" s="59"/>
      <c r="R29" s="59"/>
      <c r="S29" s="61">
        <f t="shared" si="2"/>
        <v>4.7069898799717631</v>
      </c>
      <c r="T29" s="62">
        <f t="shared" si="5"/>
        <v>1.5114771450617797</v>
      </c>
    </row>
    <row r="30" spans="2:27" ht="21.75" customHeight="1">
      <c r="B30" s="174"/>
      <c r="C30" s="176"/>
      <c r="D30" s="35"/>
      <c r="G30" s="16">
        <v>63</v>
      </c>
      <c r="H30" s="16">
        <v>3.48</v>
      </c>
      <c r="I30" s="88"/>
      <c r="J30" s="59"/>
      <c r="K30" s="62">
        <f t="shared" si="0"/>
        <v>5.1776888679689401</v>
      </c>
      <c r="L30" s="62">
        <f t="shared" si="3"/>
        <v>35.816378193870825</v>
      </c>
      <c r="M30" s="59"/>
      <c r="N30" s="59"/>
      <c r="O30" s="72">
        <f t="shared" si="1"/>
        <v>5.1776888679689401</v>
      </c>
      <c r="P30" s="73">
        <f t="shared" si="4"/>
        <v>146.90072210071594</v>
      </c>
      <c r="Q30" s="59"/>
      <c r="R30" s="59"/>
      <c r="S30" s="61">
        <f t="shared" si="2"/>
        <v>4.9423393739703512</v>
      </c>
      <c r="T30" s="62">
        <f t="shared" si="5"/>
        <v>1.506013974657942</v>
      </c>
      <c r="U30" s="184"/>
      <c r="V30" s="185"/>
      <c r="W30" s="185"/>
      <c r="Y30" s="184"/>
      <c r="Z30" s="185"/>
      <c r="AA30" s="185"/>
    </row>
    <row r="31" spans="2:27" ht="19.5" customHeight="1">
      <c r="B31" s="50" t="s">
        <v>122</v>
      </c>
      <c r="C31" s="51">
        <f>(((1/6)*10^-7*0.001*0.01)/(1*10^-4*6894.76))/(9.86923*10^-16)</f>
        <v>244.93244962621043</v>
      </c>
      <c r="D31" s="52"/>
      <c r="F31" s="121" t="s">
        <v>57</v>
      </c>
      <c r="G31" s="16">
        <v>66</v>
      </c>
      <c r="H31" s="16">
        <v>3.49</v>
      </c>
      <c r="I31" s="88"/>
      <c r="J31" s="59"/>
      <c r="K31" s="62">
        <f t="shared" si="0"/>
        <v>5.4130383619675282</v>
      </c>
      <c r="L31" s="62">
        <f t="shared" si="3"/>
        <v>35.714045684745479</v>
      </c>
      <c r="M31" s="59"/>
      <c r="N31" s="59"/>
      <c r="O31" s="72">
        <f t="shared" si="1"/>
        <v>5.4130383619675282</v>
      </c>
      <c r="P31" s="73">
        <f t="shared" si="4"/>
        <v>147.84846869491406</v>
      </c>
      <c r="Q31" s="59"/>
      <c r="R31" s="59"/>
      <c r="S31" s="61">
        <f t="shared" si="2"/>
        <v>5.1776888679689401</v>
      </c>
      <c r="T31" s="62">
        <f t="shared" si="5"/>
        <v>1.5023937487573218</v>
      </c>
    </row>
    <row r="32" spans="2:27" ht="17.25" customHeight="1">
      <c r="B32" s="7"/>
      <c r="C32" s="112"/>
      <c r="F32" s="6"/>
      <c r="G32" s="16">
        <v>69</v>
      </c>
      <c r="H32" s="16">
        <v>3.5</v>
      </c>
      <c r="I32" s="88"/>
      <c r="J32" s="59"/>
      <c r="K32" s="62">
        <f t="shared" si="0"/>
        <v>5.6483878559661163</v>
      </c>
      <c r="L32" s="62">
        <f t="shared" si="3"/>
        <v>35.612296266840225</v>
      </c>
      <c r="M32" s="59"/>
      <c r="N32" s="59"/>
      <c r="O32" s="72">
        <f t="shared" si="1"/>
        <v>5.6483878559661163</v>
      </c>
      <c r="P32" s="73">
        <f t="shared" si="4"/>
        <v>148.80852368643949</v>
      </c>
      <c r="Q32" s="59"/>
      <c r="R32" s="59"/>
      <c r="S32" s="61">
        <f t="shared" si="2"/>
        <v>5.4130383619675282</v>
      </c>
      <c r="T32" s="62">
        <f t="shared" si="5"/>
        <v>1.4987908860504697</v>
      </c>
    </row>
    <row r="33" spans="2:20" ht="20.25" customHeight="1">
      <c r="B33" s="170" t="s">
        <v>123</v>
      </c>
      <c r="C33" s="170"/>
      <c r="G33" s="16">
        <v>72</v>
      </c>
      <c r="H33" s="16">
        <v>3.51</v>
      </c>
      <c r="I33" s="88"/>
      <c r="J33" s="59"/>
      <c r="K33" s="62">
        <f t="shared" si="0"/>
        <v>5.8837373499647043</v>
      </c>
      <c r="L33" s="62">
        <f t="shared" si="3"/>
        <v>35.211030956791319</v>
      </c>
      <c r="M33" s="59"/>
      <c r="N33" s="59"/>
      <c r="O33" s="72">
        <f t="shared" si="1"/>
        <v>5.8837373499647043</v>
      </c>
      <c r="P33" s="73">
        <f t="shared" si="4"/>
        <v>189.39266651001392</v>
      </c>
      <c r="Q33" s="59"/>
      <c r="R33" s="59"/>
      <c r="S33" s="61">
        <f t="shared" si="2"/>
        <v>5.6483878559661163</v>
      </c>
      <c r="T33" s="62">
        <f t="shared" si="5"/>
        <v>1.4952052619211624</v>
      </c>
    </row>
    <row r="34" spans="2:20" ht="15.75" customHeight="1">
      <c r="G34" s="118">
        <v>75</v>
      </c>
      <c r="H34" s="118">
        <v>3.55</v>
      </c>
      <c r="I34" s="88"/>
      <c r="J34" s="59"/>
      <c r="K34" s="10"/>
      <c r="L34" s="10"/>
      <c r="M34" s="59"/>
      <c r="N34" s="59"/>
      <c r="O34" s="68"/>
      <c r="P34" s="68"/>
      <c r="Q34" s="59"/>
      <c r="R34" s="59"/>
      <c r="S34" s="59"/>
    </row>
    <row r="35" spans="2:20" ht="40" customHeight="1">
      <c r="B35" s="231" t="s">
        <v>132</v>
      </c>
      <c r="C35" s="7"/>
      <c r="G35" s="173" t="s">
        <v>69</v>
      </c>
      <c r="H35" s="173"/>
      <c r="I35" s="87"/>
      <c r="J35" s="59"/>
      <c r="M35" s="59"/>
      <c r="N35" s="59"/>
      <c r="O35" s="68"/>
      <c r="P35" s="68"/>
      <c r="Q35" s="59"/>
      <c r="R35" s="59"/>
      <c r="S35" s="61">
        <f t="shared" ref="S35:S77" si="6">G88*$C$23/$C$17</f>
        <v>5.8837373499647043</v>
      </c>
      <c r="T35" s="62">
        <f>($C$31*$C$21*$C$11*$C$19)/($C$13*H88)</f>
        <v>1.4916367529428303</v>
      </c>
    </row>
    <row r="36" spans="2:20" ht="34" customHeight="1">
      <c r="B36" s="232" t="s">
        <v>133</v>
      </c>
      <c r="C36" s="9"/>
      <c r="G36" s="117">
        <v>0</v>
      </c>
      <c r="H36" s="117">
        <v>0</v>
      </c>
      <c r="I36" s="88"/>
      <c r="J36" s="59"/>
      <c r="K36" s="65" t="s">
        <v>20</v>
      </c>
      <c r="L36" s="70">
        <f>AVERAGE(L9:L33)</f>
        <v>126.94877773917254</v>
      </c>
      <c r="M36" s="59"/>
      <c r="N36" s="59"/>
      <c r="O36" s="65" t="s">
        <v>20</v>
      </c>
      <c r="P36" s="71" t="s">
        <v>73</v>
      </c>
      <c r="Q36" s="59"/>
      <c r="R36" s="59"/>
      <c r="S36" s="61">
        <f t="shared" si="6"/>
        <v>6.1190868439632924</v>
      </c>
      <c r="T36" s="62">
        <f t="shared" ref="T36:T77" si="7">($C$31*$C$21*$C$11*$C$19)/($C$13*H89)</f>
        <v>1.4880852368643949</v>
      </c>
    </row>
    <row r="37" spans="2:20" ht="22" customHeight="1">
      <c r="B37" s="232"/>
      <c r="G37" s="16">
        <v>3</v>
      </c>
      <c r="H37" s="16">
        <v>12.5</v>
      </c>
      <c r="I37" s="88"/>
      <c r="J37" s="59"/>
      <c r="K37" s="65" t="s">
        <v>72</v>
      </c>
      <c r="L37" s="70">
        <f>_xlfn.STDEV.S(L9:L33)</f>
        <v>407.97747105431239</v>
      </c>
      <c r="M37" s="59"/>
      <c r="N37" s="59"/>
      <c r="O37" s="65" t="s">
        <v>72</v>
      </c>
      <c r="P37" s="71" t="s">
        <v>74</v>
      </c>
      <c r="Q37" s="59"/>
      <c r="R37" s="59"/>
      <c r="S37" s="61">
        <f t="shared" si="6"/>
        <v>6.3544363379618805</v>
      </c>
      <c r="T37" s="62">
        <f t="shared" si="7"/>
        <v>1.4845505925963085</v>
      </c>
    </row>
    <row r="38" spans="2:20" ht="15.75" customHeight="1">
      <c r="G38" s="16">
        <v>6</v>
      </c>
      <c r="H38" s="16">
        <v>26.1</v>
      </c>
      <c r="I38" s="88"/>
      <c r="J38" s="59"/>
      <c r="K38" s="65"/>
      <c r="L38" s="63"/>
      <c r="M38" s="59"/>
      <c r="N38" s="59"/>
      <c r="O38" s="65"/>
      <c r="P38" s="67"/>
      <c r="Q38" s="59"/>
      <c r="R38" s="59"/>
      <c r="S38" s="61">
        <f t="shared" si="6"/>
        <v>6.5897858319604685</v>
      </c>
      <c r="T38" s="62">
        <f t="shared" si="7"/>
        <v>1.4827895598648775</v>
      </c>
    </row>
    <row r="39" spans="2:20" ht="35" customHeight="1">
      <c r="B39" s="233" t="s">
        <v>134</v>
      </c>
      <c r="C39" s="9"/>
      <c r="D39" s="9"/>
      <c r="E39" s="9"/>
      <c r="G39" s="16">
        <v>9</v>
      </c>
      <c r="H39" s="16">
        <v>44.9</v>
      </c>
      <c r="I39" s="88"/>
      <c r="J39" s="59"/>
      <c r="K39" s="66" t="s">
        <v>71</v>
      </c>
      <c r="L39" s="64">
        <f>AVERAGE(H9:H34)</f>
        <v>2.7446153846153853</v>
      </c>
      <c r="M39" s="59"/>
      <c r="N39" s="59"/>
      <c r="O39" s="66" t="s">
        <v>71</v>
      </c>
      <c r="P39" s="166">
        <v>47.01</v>
      </c>
      <c r="Q39" s="59"/>
      <c r="R39" s="59"/>
      <c r="S39" s="61">
        <f t="shared" si="6"/>
        <v>6.8251353259590566</v>
      </c>
      <c r="T39" s="62">
        <f t="shared" si="7"/>
        <v>1.4792799987764398</v>
      </c>
    </row>
    <row r="40" spans="2:20" ht="26" customHeight="1">
      <c r="B40" s="233" t="s">
        <v>135</v>
      </c>
      <c r="D40" s="9"/>
      <c r="E40" s="9"/>
      <c r="G40" s="16">
        <v>12</v>
      </c>
      <c r="H40" s="16">
        <v>63.7</v>
      </c>
      <c r="I40" s="88"/>
      <c r="J40" s="59"/>
      <c r="K40" s="59"/>
      <c r="L40" s="59"/>
      <c r="M40" s="59"/>
      <c r="N40" s="59"/>
      <c r="O40" s="59"/>
      <c r="P40" s="59"/>
      <c r="Q40" s="59"/>
      <c r="R40" s="59"/>
      <c r="S40" s="61">
        <f t="shared" si="6"/>
        <v>7.0604848199576447</v>
      </c>
      <c r="T40" s="62">
        <f t="shared" si="7"/>
        <v>1.4757870117663421</v>
      </c>
    </row>
    <row r="41" spans="2:20" ht="15.75" customHeight="1">
      <c r="C41" s="11"/>
      <c r="D41" s="9"/>
      <c r="E41" s="9"/>
      <c r="G41" s="16">
        <v>15</v>
      </c>
      <c r="H41" s="16">
        <v>65.400000000000006</v>
      </c>
      <c r="I41" s="88"/>
      <c r="J41" s="59"/>
      <c r="K41" s="59"/>
      <c r="L41" s="59"/>
      <c r="M41" s="59"/>
      <c r="N41" s="59"/>
      <c r="O41" s="59"/>
      <c r="P41" s="59"/>
      <c r="Q41" s="59"/>
      <c r="R41" s="59"/>
      <c r="S41" s="61">
        <f t="shared" si="6"/>
        <v>7.2958343139562336</v>
      </c>
      <c r="T41" s="62">
        <f t="shared" si="7"/>
        <v>1.474046696893976</v>
      </c>
    </row>
    <row r="42" spans="2:20" ht="15.75" customHeight="1">
      <c r="C42" s="11"/>
      <c r="D42" s="9"/>
      <c r="E42" s="9"/>
      <c r="G42" s="16">
        <v>18</v>
      </c>
      <c r="H42" s="16">
        <v>63.1</v>
      </c>
      <c r="I42" s="88"/>
      <c r="J42" s="59"/>
      <c r="K42" s="59"/>
      <c r="L42" s="59"/>
      <c r="M42" s="59"/>
      <c r="N42" s="59"/>
      <c r="O42" s="59"/>
      <c r="P42" s="59"/>
      <c r="Q42" s="59"/>
      <c r="R42" s="59"/>
      <c r="S42" s="61">
        <f t="shared" si="6"/>
        <v>7.5311838079548217</v>
      </c>
      <c r="T42" s="62">
        <f t="shared" si="7"/>
        <v>1.4705783517248137</v>
      </c>
    </row>
    <row r="43" spans="2:20" ht="15.75" customHeight="1">
      <c r="G43" s="16">
        <v>21</v>
      </c>
      <c r="H43" s="16">
        <v>60</v>
      </c>
      <c r="I43" s="88"/>
      <c r="J43" s="59"/>
      <c r="K43" s="59"/>
      <c r="L43" s="59"/>
      <c r="M43" s="59"/>
      <c r="N43" s="59"/>
      <c r="O43" s="59"/>
      <c r="P43" s="59"/>
      <c r="Q43" s="59"/>
      <c r="R43" s="59"/>
      <c r="S43" s="61">
        <f t="shared" si="6"/>
        <v>7.7665333019534097</v>
      </c>
      <c r="T43" s="62">
        <f t="shared" si="7"/>
        <v>1.4688502925570996</v>
      </c>
    </row>
    <row r="44" spans="2:20" ht="15.75" customHeight="1">
      <c r="D44" s="9"/>
      <c r="G44" s="16">
        <v>24</v>
      </c>
      <c r="H44" s="16">
        <v>57.3</v>
      </c>
      <c r="I44" s="88"/>
      <c r="J44" s="59"/>
      <c r="K44" s="59"/>
      <c r="L44" s="59"/>
      <c r="M44" s="59"/>
      <c r="N44" s="59"/>
      <c r="O44" s="59"/>
      <c r="P44" s="59"/>
      <c r="Q44" s="59"/>
      <c r="R44" s="59"/>
      <c r="S44" s="61">
        <f t="shared" si="6"/>
        <v>8.0018827959519978</v>
      </c>
      <c r="T44" s="62">
        <f t="shared" si="7"/>
        <v>1.4671262898663047</v>
      </c>
    </row>
    <row r="45" spans="2:20" ht="15.75" customHeight="1">
      <c r="G45" s="16">
        <v>27</v>
      </c>
      <c r="H45" s="16">
        <v>55.4</v>
      </c>
      <c r="I45" s="88"/>
      <c r="J45" s="59"/>
      <c r="K45" s="59"/>
      <c r="L45" s="59"/>
      <c r="M45" s="59"/>
      <c r="N45" s="59"/>
      <c r="O45" s="59"/>
      <c r="P45" s="59"/>
      <c r="Q45" s="59"/>
      <c r="R45" s="59"/>
      <c r="S45" s="61">
        <f t="shared" si="6"/>
        <v>8.237232289950585</v>
      </c>
      <c r="T45" s="62">
        <f t="shared" si="7"/>
        <v>1.4654063293858051</v>
      </c>
    </row>
    <row r="46" spans="2:20" ht="15.75" customHeight="1">
      <c r="G46" s="16">
        <v>30</v>
      </c>
      <c r="H46" s="16">
        <v>53.9</v>
      </c>
      <c r="I46" s="88"/>
      <c r="J46" s="59"/>
      <c r="K46" s="59"/>
      <c r="L46" s="59"/>
      <c r="M46" s="59"/>
      <c r="N46" s="59"/>
      <c r="O46" s="59"/>
      <c r="P46" s="59"/>
      <c r="Q46" s="59"/>
      <c r="R46" s="59"/>
      <c r="S46" s="61">
        <f t="shared" si="6"/>
        <v>8.4725817839491739</v>
      </c>
      <c r="T46" s="62">
        <f t="shared" si="7"/>
        <v>1.4636903969157982</v>
      </c>
    </row>
    <row r="47" spans="2:20" ht="15.75" customHeight="1">
      <c r="G47" s="16">
        <v>33</v>
      </c>
      <c r="H47" s="16">
        <v>52.8</v>
      </c>
      <c r="I47" s="88"/>
      <c r="J47" s="59"/>
      <c r="K47" s="59"/>
      <c r="L47" s="59"/>
      <c r="M47" s="59"/>
      <c r="N47" s="59"/>
      <c r="O47" s="59"/>
      <c r="P47" s="59"/>
      <c r="Q47" s="59"/>
      <c r="R47" s="59"/>
      <c r="S47" s="61">
        <f t="shared" si="6"/>
        <v>8.7079312779477629</v>
      </c>
      <c r="T47" s="62">
        <f t="shared" si="7"/>
        <v>1.4619784783229142</v>
      </c>
    </row>
    <row r="48" spans="2:20" ht="15.75" customHeight="1">
      <c r="G48" s="16">
        <v>36</v>
      </c>
      <c r="H48" s="16">
        <v>51.6</v>
      </c>
      <c r="I48" s="88"/>
      <c r="J48" s="59"/>
      <c r="K48" s="59"/>
      <c r="L48" s="59"/>
      <c r="M48" s="59"/>
      <c r="N48" s="59"/>
      <c r="O48" s="59"/>
      <c r="P48" s="59"/>
      <c r="Q48" s="59"/>
      <c r="R48" s="59"/>
      <c r="S48" s="61">
        <f t="shared" si="6"/>
        <v>8.9432807719463501</v>
      </c>
      <c r="T48" s="62">
        <f t="shared" si="7"/>
        <v>1.4602705595398269</v>
      </c>
    </row>
    <row r="49" spans="7:20" ht="15.75" customHeight="1">
      <c r="G49" s="16">
        <v>39</v>
      </c>
      <c r="H49" s="16">
        <v>51.1</v>
      </c>
      <c r="I49" s="88"/>
      <c r="J49" s="59"/>
      <c r="K49" s="59"/>
      <c r="L49" s="59"/>
      <c r="M49" s="59"/>
      <c r="N49" s="59"/>
      <c r="O49" s="59"/>
      <c r="P49" s="59"/>
      <c r="Q49" s="59"/>
      <c r="R49" s="59"/>
      <c r="S49" s="61">
        <f t="shared" si="6"/>
        <v>9.178630265944939</v>
      </c>
      <c r="T49" s="62">
        <f t="shared" si="7"/>
        <v>1.4585666265648678</v>
      </c>
    </row>
    <row r="50" spans="7:20" ht="15.75" customHeight="1">
      <c r="G50" s="16">
        <v>42</v>
      </c>
      <c r="H50" s="16">
        <v>50.4</v>
      </c>
      <c r="I50" s="88"/>
      <c r="J50" s="59"/>
      <c r="K50" s="59"/>
      <c r="L50" s="59"/>
      <c r="M50" s="59"/>
      <c r="N50" s="59"/>
      <c r="O50" s="59"/>
      <c r="P50" s="59"/>
      <c r="Q50" s="59"/>
      <c r="R50" s="59"/>
      <c r="S50" s="61">
        <f t="shared" si="6"/>
        <v>9.4139797599435262</v>
      </c>
      <c r="T50" s="62">
        <f t="shared" si="7"/>
        <v>1.4568666654616456</v>
      </c>
    </row>
    <row r="51" spans="7:20" ht="15.75" customHeight="1">
      <c r="G51" s="16">
        <v>45</v>
      </c>
      <c r="H51" s="16">
        <v>49.8</v>
      </c>
      <c r="I51" s="88"/>
      <c r="J51" s="59"/>
      <c r="K51" s="59"/>
      <c r="L51" s="59"/>
      <c r="M51" s="59"/>
      <c r="N51" s="59"/>
      <c r="O51" s="59"/>
      <c r="P51" s="59"/>
      <c r="Q51" s="59"/>
      <c r="R51" s="59"/>
      <c r="S51" s="61">
        <f t="shared" si="6"/>
        <v>9.6493292539421152</v>
      </c>
      <c r="T51" s="62">
        <f t="shared" si="7"/>
        <v>1.4551706623586631</v>
      </c>
    </row>
    <row r="52" spans="7:20" ht="15.75" customHeight="1">
      <c r="G52" s="16">
        <v>48</v>
      </c>
      <c r="H52" s="16">
        <v>49.2</v>
      </c>
      <c r="I52" s="88"/>
      <c r="J52" s="59"/>
      <c r="K52" s="59"/>
      <c r="L52" s="59"/>
      <c r="M52" s="59"/>
      <c r="N52" s="59"/>
      <c r="O52" s="59"/>
      <c r="P52" s="59"/>
      <c r="Q52" s="59"/>
      <c r="R52" s="59"/>
      <c r="S52" s="61">
        <f t="shared" si="6"/>
        <v>9.8846787479407023</v>
      </c>
      <c r="T52" s="62">
        <f t="shared" si="7"/>
        <v>1.4550012792062528</v>
      </c>
    </row>
    <row r="53" spans="7:20" ht="15.75" customHeight="1">
      <c r="G53" s="16">
        <v>51</v>
      </c>
      <c r="H53" s="16">
        <v>48.7</v>
      </c>
      <c r="I53" s="88"/>
      <c r="J53" s="59"/>
      <c r="K53" s="59"/>
      <c r="L53" s="59"/>
      <c r="M53" s="59"/>
      <c r="N53" s="59"/>
      <c r="O53" s="59"/>
      <c r="P53" s="59"/>
      <c r="Q53" s="59"/>
      <c r="R53" s="59"/>
      <c r="S53" s="61">
        <f t="shared" si="6"/>
        <v>10.120028241939291</v>
      </c>
      <c r="T53" s="62">
        <f t="shared" si="7"/>
        <v>1.4534786034489438</v>
      </c>
    </row>
    <row r="54" spans="7:20" ht="15.75" customHeight="1">
      <c r="G54" s="16">
        <v>54</v>
      </c>
      <c r="H54" s="16">
        <v>48.3</v>
      </c>
      <c r="I54" s="88"/>
      <c r="J54" s="59"/>
      <c r="K54" s="59"/>
      <c r="L54" s="59"/>
      <c r="M54" s="59"/>
      <c r="N54" s="59"/>
      <c r="O54" s="59"/>
      <c r="P54" s="59"/>
      <c r="Q54" s="59"/>
      <c r="R54" s="59"/>
      <c r="S54" s="61">
        <f t="shared" si="6"/>
        <v>10.35537773593788</v>
      </c>
      <c r="T54" s="62">
        <f t="shared" si="7"/>
        <v>1.4517904749896537</v>
      </c>
    </row>
    <row r="55" spans="7:20" ht="15.75" customHeight="1">
      <c r="G55" s="16">
        <v>57</v>
      </c>
      <c r="H55" s="16">
        <v>47.8</v>
      </c>
      <c r="I55" s="88"/>
      <c r="J55" s="59"/>
      <c r="K55" s="59"/>
      <c r="L55" s="59"/>
      <c r="M55" s="59"/>
      <c r="N55" s="59"/>
      <c r="O55" s="59"/>
      <c r="P55" s="59"/>
      <c r="Q55" s="59"/>
      <c r="R55" s="59"/>
      <c r="S55" s="61">
        <f t="shared" si="6"/>
        <v>10.590727229936467</v>
      </c>
      <c r="T55" s="62">
        <f t="shared" si="7"/>
        <v>1.4501062633017303</v>
      </c>
    </row>
    <row r="56" spans="7:20" ht="15.75" customHeight="1">
      <c r="G56" s="16">
        <v>60</v>
      </c>
      <c r="H56" s="16">
        <v>47.4</v>
      </c>
      <c r="I56" s="88"/>
      <c r="J56" s="59"/>
      <c r="K56" s="59"/>
      <c r="L56" s="59"/>
      <c r="M56" s="59"/>
      <c r="N56" s="59"/>
      <c r="O56" s="59"/>
      <c r="P56" s="59"/>
      <c r="Q56" s="59"/>
      <c r="R56" s="59"/>
      <c r="S56" s="61">
        <f t="shared" si="6"/>
        <v>10.826076723935056</v>
      </c>
      <c r="T56" s="62">
        <f t="shared" si="7"/>
        <v>1.4484259547695155</v>
      </c>
    </row>
    <row r="57" spans="7:20" ht="15.75" customHeight="1">
      <c r="G57" s="16">
        <v>63</v>
      </c>
      <c r="H57" s="16">
        <v>47</v>
      </c>
      <c r="I57" s="88"/>
      <c r="J57" s="179" t="s">
        <v>120</v>
      </c>
      <c r="K57" s="179"/>
      <c r="L57" s="179"/>
      <c r="M57" s="180"/>
      <c r="N57" s="59"/>
      <c r="O57" s="179" t="s">
        <v>86</v>
      </c>
      <c r="P57" s="179"/>
      <c r="Q57" s="179"/>
      <c r="R57" s="180"/>
      <c r="S57" s="61">
        <f t="shared" si="6"/>
        <v>11.061426217933644</v>
      </c>
      <c r="T57" s="62">
        <f t="shared" si="7"/>
        <v>1.4467495358403837</v>
      </c>
    </row>
    <row r="58" spans="7:20" ht="15.75" customHeight="1">
      <c r="G58" s="16">
        <v>66</v>
      </c>
      <c r="H58" s="16">
        <v>46.8</v>
      </c>
      <c r="I58" s="88"/>
      <c r="J58" s="179"/>
      <c r="K58" s="179"/>
      <c r="L58" s="179"/>
      <c r="M58" s="180"/>
      <c r="N58" s="59"/>
      <c r="O58" s="179"/>
      <c r="P58" s="179"/>
      <c r="Q58" s="179"/>
      <c r="R58" s="180"/>
      <c r="S58" s="61">
        <f t="shared" si="6"/>
        <v>11.296775711932233</v>
      </c>
      <c r="T58" s="62">
        <f t="shared" si="7"/>
        <v>1.4450769930243836</v>
      </c>
    </row>
    <row r="59" spans="7:20" ht="15.75" customHeight="1">
      <c r="G59" s="16">
        <v>69</v>
      </c>
      <c r="H59" s="16">
        <v>46.5</v>
      </c>
      <c r="I59" s="88"/>
      <c r="J59" s="59"/>
      <c r="K59" s="59"/>
      <c r="L59" s="59"/>
      <c r="M59" s="59"/>
      <c r="N59" s="59"/>
      <c r="S59" s="61">
        <f t="shared" si="6"/>
        <v>11.53212520593082</v>
      </c>
      <c r="T59" s="62">
        <f t="shared" si="7"/>
        <v>1.4434083128938704</v>
      </c>
    </row>
    <row r="60" spans="7:20" ht="15.75" customHeight="1">
      <c r="G60" s="16">
        <v>72</v>
      </c>
      <c r="H60" s="16">
        <v>46.2</v>
      </c>
      <c r="I60" s="88"/>
      <c r="J60" s="59"/>
      <c r="K60" s="59"/>
      <c r="M60" s="59"/>
      <c r="N60" s="59"/>
      <c r="O60" s="59"/>
      <c r="P60" s="59"/>
      <c r="Q60" s="59"/>
      <c r="R60" s="59"/>
      <c r="S60" s="61">
        <f t="shared" si="6"/>
        <v>11.767474699929409</v>
      </c>
      <c r="T60" s="62">
        <f t="shared" si="7"/>
        <v>1.443241656813407</v>
      </c>
    </row>
    <row r="61" spans="7:20" ht="15.75" customHeight="1">
      <c r="G61" s="118">
        <v>75</v>
      </c>
      <c r="H61" s="118">
        <v>36.299999999999997</v>
      </c>
      <c r="I61" s="88"/>
      <c r="J61" s="59"/>
      <c r="K61" s="59"/>
      <c r="L61" s="59"/>
      <c r="M61" s="59"/>
      <c r="N61" s="59"/>
      <c r="O61" s="59"/>
      <c r="P61" s="59"/>
      <c r="Q61" s="59"/>
      <c r="R61" s="59"/>
      <c r="S61" s="61">
        <f t="shared" si="6"/>
        <v>12.002824193927996</v>
      </c>
      <c r="T61" s="62">
        <f t="shared" si="7"/>
        <v>1.4417434820831507</v>
      </c>
    </row>
    <row r="62" spans="7:20" ht="39" customHeight="1">
      <c r="G62" s="172" t="s">
        <v>7</v>
      </c>
      <c r="H62" s="172"/>
      <c r="I62" s="87"/>
      <c r="J62" s="59"/>
      <c r="K62" s="59"/>
      <c r="L62" s="59"/>
      <c r="M62" s="59"/>
      <c r="N62" s="59"/>
      <c r="O62" s="59"/>
      <c r="P62" s="59"/>
      <c r="Q62" s="59"/>
      <c r="R62" s="59"/>
      <c r="S62" s="61">
        <f t="shared" si="6"/>
        <v>12.238173687926585</v>
      </c>
      <c r="T62" s="62">
        <f t="shared" si="7"/>
        <v>1.441577210201928</v>
      </c>
    </row>
    <row r="63" spans="7:20" ht="15.75" customHeight="1">
      <c r="G63" s="117">
        <v>0</v>
      </c>
      <c r="H63" s="117">
        <v>24.8</v>
      </c>
      <c r="I63" s="88"/>
      <c r="J63" s="59"/>
      <c r="K63" s="59"/>
      <c r="L63" s="59"/>
      <c r="M63" s="59"/>
      <c r="N63" s="59"/>
      <c r="O63" s="59"/>
      <c r="P63" s="59"/>
      <c r="Q63" s="59"/>
      <c r="R63" s="59"/>
      <c r="S63" s="61">
        <f t="shared" si="6"/>
        <v>12.473523181925174</v>
      </c>
      <c r="T63" s="62">
        <f t="shared" si="7"/>
        <v>1.4400824872881242</v>
      </c>
    </row>
    <row r="64" spans="7:20" ht="15.75" customHeight="1">
      <c r="G64" s="16">
        <v>3</v>
      </c>
      <c r="H64" s="16">
        <v>18.399999999999999</v>
      </c>
      <c r="I64" s="88"/>
      <c r="J64" s="59"/>
      <c r="K64" s="59"/>
      <c r="L64" s="59"/>
      <c r="M64" s="59"/>
      <c r="N64" s="59"/>
      <c r="O64" s="59"/>
      <c r="P64" s="59"/>
      <c r="Q64" s="59"/>
      <c r="R64" s="59"/>
      <c r="S64" s="61">
        <f t="shared" si="6"/>
        <v>12.708872675923761</v>
      </c>
      <c r="T64" s="62">
        <f t="shared" si="7"/>
        <v>1.4384253152659281</v>
      </c>
    </row>
    <row r="65" spans="7:26" ht="15.75" customHeight="1">
      <c r="G65" s="16">
        <v>6</v>
      </c>
      <c r="H65" s="16">
        <v>14.6</v>
      </c>
      <c r="I65" s="88"/>
      <c r="J65" s="59"/>
      <c r="K65" s="59"/>
      <c r="L65" s="59"/>
      <c r="M65" s="59"/>
      <c r="N65" s="59"/>
      <c r="O65" s="59"/>
      <c r="P65" s="59"/>
      <c r="Q65" s="59"/>
      <c r="R65" s="59"/>
      <c r="S65" s="61">
        <f t="shared" si="6"/>
        <v>12.94422216992235</v>
      </c>
      <c r="T65" s="62">
        <f t="shared" si="7"/>
        <v>1.4367719528345881</v>
      </c>
    </row>
    <row r="66" spans="7:26" ht="15.75" customHeight="1">
      <c r="G66" s="16">
        <v>9</v>
      </c>
      <c r="H66" s="16">
        <v>11.5</v>
      </c>
      <c r="I66" s="88"/>
      <c r="J66" s="59"/>
      <c r="K66" s="59"/>
      <c r="L66" s="59"/>
      <c r="M66" s="59"/>
      <c r="N66" s="59"/>
      <c r="O66" s="59"/>
      <c r="P66" s="59"/>
      <c r="Q66" s="59"/>
      <c r="R66" s="59"/>
      <c r="S66" s="61">
        <f t="shared" si="6"/>
        <v>13.179571663920937</v>
      </c>
      <c r="T66" s="62">
        <f t="shared" si="7"/>
        <v>1.4351223868726657</v>
      </c>
    </row>
    <row r="67" spans="7:26" ht="15.75" customHeight="1">
      <c r="G67" s="16">
        <v>12</v>
      </c>
      <c r="H67" s="16">
        <v>12.3</v>
      </c>
      <c r="I67" s="88"/>
      <c r="J67" s="59"/>
      <c r="K67" s="59"/>
      <c r="L67" s="59"/>
      <c r="M67" s="59"/>
      <c r="N67" s="59"/>
      <c r="O67" s="59"/>
      <c r="P67" s="59"/>
      <c r="Q67" s="59"/>
      <c r="R67" s="59"/>
      <c r="S67" s="61">
        <f t="shared" si="6"/>
        <v>13.414921157919526</v>
      </c>
      <c r="T67" s="62">
        <f t="shared" si="7"/>
        <v>1.4349576385789138</v>
      </c>
    </row>
    <row r="68" spans="7:26" ht="15.75" customHeight="1">
      <c r="G68" s="16">
        <v>15</v>
      </c>
      <c r="H68" s="16">
        <v>21.7</v>
      </c>
      <c r="I68" s="88"/>
      <c r="J68" s="59"/>
      <c r="K68" s="59"/>
      <c r="L68" s="59"/>
      <c r="M68" s="59"/>
      <c r="N68" s="59"/>
      <c r="O68" s="59"/>
      <c r="P68" s="59"/>
      <c r="Q68" s="59"/>
      <c r="R68" s="59"/>
      <c r="S68" s="61">
        <f t="shared" si="6"/>
        <v>13.650270651918113</v>
      </c>
      <c r="T68" s="62">
        <f t="shared" si="7"/>
        <v>1.4347929281061658</v>
      </c>
    </row>
    <row r="69" spans="7:26" ht="15.75" customHeight="1">
      <c r="G69" s="16">
        <v>18</v>
      </c>
      <c r="H69" s="16">
        <v>30.7</v>
      </c>
      <c r="I69" s="88"/>
      <c r="J69" s="59"/>
      <c r="K69" s="59"/>
      <c r="L69" s="59"/>
      <c r="M69" s="59"/>
      <c r="N69" s="59"/>
      <c r="O69" s="59"/>
      <c r="P69" s="59"/>
      <c r="Q69" s="59"/>
      <c r="R69" s="59"/>
      <c r="S69" s="61">
        <f t="shared" si="6"/>
        <v>13.885620145916702</v>
      </c>
      <c r="T69" s="62">
        <f t="shared" si="7"/>
        <v>1.4334766043189124</v>
      </c>
    </row>
    <row r="70" spans="7:26" ht="15.75" customHeight="1">
      <c r="G70" s="16">
        <v>21</v>
      </c>
      <c r="H70" s="16">
        <v>39.5</v>
      </c>
      <c r="I70" s="88"/>
      <c r="J70" s="59"/>
      <c r="K70" s="59"/>
      <c r="L70" s="59"/>
      <c r="M70" s="59"/>
      <c r="N70" s="59"/>
      <c r="O70" s="59"/>
      <c r="P70" s="59"/>
      <c r="Q70" s="59"/>
      <c r="R70" s="59"/>
      <c r="S70" s="61">
        <f t="shared" si="6"/>
        <v>14.120969639915289</v>
      </c>
      <c r="T70" s="62">
        <f t="shared" si="7"/>
        <v>1.433312233649916</v>
      </c>
    </row>
    <row r="71" spans="7:26" ht="15.75" customHeight="1">
      <c r="G71" s="16">
        <v>24</v>
      </c>
      <c r="H71" s="16">
        <v>48.3</v>
      </c>
      <c r="I71" s="88"/>
      <c r="J71" s="59"/>
      <c r="K71" s="59"/>
      <c r="L71" s="59"/>
      <c r="M71" s="59"/>
      <c r="N71" s="59"/>
      <c r="O71" s="59"/>
      <c r="P71" s="59"/>
      <c r="Q71" s="59"/>
      <c r="R71" s="59"/>
      <c r="S71" s="61">
        <f t="shared" si="6"/>
        <v>14.356319133913878</v>
      </c>
      <c r="T71" s="62">
        <f t="shared" si="7"/>
        <v>1.4334766043189124</v>
      </c>
    </row>
    <row r="72" spans="7:26" ht="15.75" customHeight="1">
      <c r="G72" s="16">
        <v>27</v>
      </c>
      <c r="H72" s="16">
        <v>56.7</v>
      </c>
      <c r="I72" s="88"/>
      <c r="J72" s="59"/>
      <c r="K72" s="59"/>
      <c r="L72" s="59"/>
      <c r="M72" s="59"/>
      <c r="N72" s="59"/>
      <c r="O72" s="59"/>
      <c r="P72" s="59"/>
      <c r="Q72" s="59"/>
      <c r="R72" s="59"/>
      <c r="S72" s="61">
        <f t="shared" si="6"/>
        <v>14.591668627912467</v>
      </c>
      <c r="T72" s="62">
        <f t="shared" si="7"/>
        <v>1.4318345921719264</v>
      </c>
    </row>
    <row r="73" spans="7:26" ht="15.75" customHeight="1">
      <c r="G73" s="16">
        <v>30</v>
      </c>
      <c r="H73" s="16">
        <v>65.8</v>
      </c>
      <c r="I73" s="88"/>
      <c r="J73" s="59"/>
      <c r="K73" s="59"/>
      <c r="L73" s="59"/>
      <c r="M73" s="59"/>
      <c r="N73" s="59"/>
      <c r="O73" s="59"/>
      <c r="P73" s="59"/>
      <c r="Q73" s="59"/>
      <c r="R73" s="59"/>
      <c r="S73" s="61">
        <f t="shared" si="6"/>
        <v>14.827018121911054</v>
      </c>
      <c r="T73" s="62">
        <f t="shared" si="7"/>
        <v>1.4316705978308233</v>
      </c>
    </row>
    <row r="74" spans="7:26" ht="15.75" customHeight="1">
      <c r="G74" s="16">
        <v>33</v>
      </c>
      <c r="H74" s="16">
        <v>73.3</v>
      </c>
      <c r="I74" s="88"/>
      <c r="J74" s="59"/>
      <c r="K74" s="59"/>
      <c r="L74" s="59"/>
      <c r="M74" s="59"/>
      <c r="N74" s="59"/>
      <c r="O74" s="59"/>
      <c r="P74" s="59"/>
      <c r="Q74" s="59"/>
      <c r="R74" s="59"/>
      <c r="S74" s="61">
        <f t="shared" si="6"/>
        <v>15.062367615909643</v>
      </c>
      <c r="T74" s="62">
        <f t="shared" si="7"/>
        <v>1.4301963374898075</v>
      </c>
    </row>
    <row r="75" spans="7:26" ht="15.75" customHeight="1">
      <c r="G75" s="16">
        <v>36</v>
      </c>
      <c r="H75" s="16">
        <v>77.099999999999994</v>
      </c>
      <c r="I75" s="88"/>
      <c r="J75" s="59"/>
      <c r="K75" s="59"/>
      <c r="L75" s="59"/>
      <c r="M75" s="59"/>
      <c r="N75" s="59"/>
      <c r="O75" s="59"/>
      <c r="P75" s="59"/>
      <c r="Q75" s="59"/>
      <c r="R75" s="59"/>
      <c r="S75" s="61">
        <f t="shared" si="6"/>
        <v>15.297717109908231</v>
      </c>
      <c r="T75" s="62">
        <f t="shared" si="7"/>
        <v>1.4300327181856674</v>
      </c>
    </row>
    <row r="76" spans="7:26" ht="15.75" customHeight="1">
      <c r="G76" s="16">
        <v>39</v>
      </c>
      <c r="H76" s="16">
        <v>78.599999999999994</v>
      </c>
      <c r="I76" s="88"/>
      <c r="J76" s="59"/>
      <c r="K76" s="59"/>
      <c r="L76" s="59"/>
      <c r="M76" s="59"/>
      <c r="N76" s="59"/>
      <c r="O76" s="59"/>
      <c r="P76" s="59"/>
      <c r="Q76" s="59"/>
      <c r="R76" s="59"/>
      <c r="S76" s="61">
        <f t="shared" si="6"/>
        <v>15.533066603906819</v>
      </c>
      <c r="T76" s="62">
        <f t="shared" si="7"/>
        <v>1.4301963374898075</v>
      </c>
    </row>
    <row r="77" spans="7:26" ht="15" customHeight="1">
      <c r="G77" s="16">
        <v>42</v>
      </c>
      <c r="H77" s="16">
        <v>79.5</v>
      </c>
      <c r="I77" s="88"/>
      <c r="J77" s="59"/>
      <c r="K77" s="59"/>
      <c r="L77" s="59"/>
      <c r="M77" s="59"/>
      <c r="N77" s="59"/>
      <c r="O77" s="59"/>
      <c r="P77" s="59"/>
      <c r="Q77" s="59"/>
      <c r="R77" s="59"/>
      <c r="S77" s="61">
        <f t="shared" si="6"/>
        <v>15.768416097905407</v>
      </c>
      <c r="T77" s="62">
        <f t="shared" si="7"/>
        <v>1.4285618273898191</v>
      </c>
    </row>
    <row r="78" spans="7:26" ht="15.75" customHeight="1">
      <c r="G78" s="16">
        <v>45</v>
      </c>
      <c r="H78" s="16">
        <v>80.3</v>
      </c>
      <c r="I78" s="88"/>
      <c r="J78" s="59"/>
      <c r="K78" s="59"/>
      <c r="L78" s="59"/>
      <c r="M78" s="59"/>
      <c r="N78" s="59"/>
      <c r="O78" s="59"/>
      <c r="P78" s="59"/>
      <c r="Q78" s="59"/>
      <c r="R78" s="59"/>
    </row>
    <row r="79" spans="7:26" ht="19" customHeight="1">
      <c r="G79" s="16">
        <v>48</v>
      </c>
      <c r="H79" s="16">
        <v>81</v>
      </c>
      <c r="I79" s="88"/>
      <c r="J79" s="59"/>
      <c r="K79" s="59"/>
      <c r="L79" s="59"/>
      <c r="M79" s="59"/>
      <c r="N79" s="59"/>
      <c r="O79" s="59"/>
      <c r="P79" s="59"/>
      <c r="Q79" s="59"/>
      <c r="R79" s="59"/>
      <c r="S79" s="65" t="s">
        <v>20</v>
      </c>
      <c r="T79" s="70">
        <f>AVERAGE(T9:T77)</f>
        <v>2.1355668536235419</v>
      </c>
      <c r="V79" s="179" t="s">
        <v>121</v>
      </c>
      <c r="W79" s="179"/>
      <c r="X79" s="179"/>
      <c r="Y79" s="179"/>
      <c r="Z79" s="179"/>
    </row>
    <row r="80" spans="7:26" ht="21" customHeight="1">
      <c r="G80" s="16">
        <v>51</v>
      </c>
      <c r="H80" s="16">
        <v>81.599999999999994</v>
      </c>
      <c r="I80" s="88"/>
      <c r="J80" s="59"/>
      <c r="K80" s="59"/>
      <c r="L80" s="59"/>
      <c r="M80" s="59"/>
      <c r="N80" s="59"/>
      <c r="O80" s="59"/>
      <c r="P80" s="59"/>
      <c r="Q80" s="59"/>
      <c r="R80" s="59"/>
      <c r="S80" s="65" t="s">
        <v>72</v>
      </c>
      <c r="T80" s="70">
        <f>_xlfn.STDEV.S(T9:T77)</f>
        <v>1.9522046143450951</v>
      </c>
      <c r="V80" s="179"/>
      <c r="W80" s="179"/>
      <c r="X80" s="179"/>
      <c r="Y80" s="179"/>
      <c r="Z80" s="179"/>
    </row>
    <row r="81" spans="7:20" ht="15.75" customHeight="1">
      <c r="G81" s="16">
        <v>54</v>
      </c>
      <c r="H81" s="16">
        <v>82.1</v>
      </c>
      <c r="I81" s="88"/>
      <c r="J81" s="59"/>
      <c r="K81" s="59"/>
      <c r="L81" s="59"/>
      <c r="M81" s="59"/>
      <c r="N81" s="59"/>
      <c r="O81" s="59"/>
      <c r="P81" s="59"/>
      <c r="Q81" s="59"/>
      <c r="R81" s="59"/>
      <c r="S81" s="65"/>
      <c r="T81" s="63"/>
    </row>
    <row r="82" spans="7:20" ht="22" customHeight="1">
      <c r="G82" s="16">
        <v>57</v>
      </c>
      <c r="H82" s="16">
        <v>82.4</v>
      </c>
      <c r="I82" s="88"/>
      <c r="J82" s="59"/>
      <c r="K82" s="59"/>
      <c r="L82" s="59"/>
      <c r="M82" s="59"/>
      <c r="N82" s="59"/>
      <c r="O82" s="59"/>
      <c r="P82" s="59"/>
      <c r="Q82" s="59"/>
      <c r="R82" s="59"/>
      <c r="S82" s="66" t="s">
        <v>71</v>
      </c>
      <c r="T82" s="64">
        <f>AVERAGE(H63:H130)</f>
        <v>76.160147058823526</v>
      </c>
    </row>
    <row r="83" spans="7:20" ht="15.75" customHeight="1">
      <c r="G83" s="16">
        <v>60</v>
      </c>
      <c r="H83" s="16">
        <v>82.7</v>
      </c>
      <c r="I83" s="88"/>
      <c r="J83" s="59"/>
      <c r="K83" s="59"/>
      <c r="L83" s="59"/>
      <c r="M83" s="59"/>
      <c r="N83" s="59"/>
      <c r="O83" s="59"/>
      <c r="P83" s="59"/>
      <c r="Q83" s="59"/>
      <c r="R83" s="59"/>
      <c r="S83" s="59"/>
    </row>
    <row r="84" spans="7:20" ht="15.75" customHeight="1">
      <c r="G84" s="16">
        <v>63</v>
      </c>
      <c r="H84" s="16">
        <v>83</v>
      </c>
      <c r="I84" s="88"/>
      <c r="J84" s="59"/>
      <c r="K84" s="59"/>
      <c r="L84" s="59"/>
      <c r="M84" s="59"/>
      <c r="N84" s="59"/>
      <c r="O84" s="59"/>
      <c r="P84" s="59"/>
      <c r="Q84" s="59"/>
      <c r="R84" s="59"/>
      <c r="S84" s="59"/>
    </row>
    <row r="85" spans="7:20" ht="15.75" customHeight="1">
      <c r="G85" s="16">
        <v>66</v>
      </c>
      <c r="H85" s="16">
        <v>83.2</v>
      </c>
      <c r="I85" s="88"/>
      <c r="J85" s="59"/>
      <c r="K85" s="59"/>
      <c r="L85" s="59"/>
      <c r="M85" s="59"/>
      <c r="N85" s="59"/>
      <c r="O85" s="59"/>
      <c r="P85" s="59"/>
      <c r="Q85" s="59"/>
      <c r="R85" s="59"/>
      <c r="S85" s="59"/>
    </row>
    <row r="86" spans="7:20" ht="15.75" customHeight="1">
      <c r="G86" s="16">
        <v>69</v>
      </c>
      <c r="H86" s="16">
        <v>83.4</v>
      </c>
      <c r="I86" s="88"/>
      <c r="J86" s="59"/>
      <c r="K86" s="59"/>
      <c r="L86" s="59"/>
      <c r="M86" s="59"/>
      <c r="N86" s="59"/>
      <c r="O86" s="59"/>
      <c r="P86" s="59"/>
      <c r="Q86" s="59"/>
      <c r="R86" s="59"/>
      <c r="S86" s="59"/>
    </row>
    <row r="87" spans="7:20" ht="15.75" customHeight="1">
      <c r="G87" s="16">
        <v>72</v>
      </c>
      <c r="H87" s="16">
        <v>83.6</v>
      </c>
      <c r="I87" s="88"/>
      <c r="J87" s="59"/>
      <c r="K87" s="59"/>
      <c r="L87" s="59"/>
      <c r="M87" s="59"/>
      <c r="N87" s="59"/>
      <c r="O87" s="59"/>
      <c r="P87" s="59"/>
      <c r="Q87" s="59"/>
      <c r="R87" s="59"/>
      <c r="S87" s="59"/>
    </row>
    <row r="88" spans="7:20" ht="15.75" customHeight="1">
      <c r="G88" s="16">
        <v>75</v>
      </c>
      <c r="H88" s="16">
        <v>83.8</v>
      </c>
      <c r="I88" s="88"/>
      <c r="J88" s="59"/>
      <c r="K88" s="59"/>
      <c r="L88" s="59"/>
      <c r="M88" s="59"/>
      <c r="N88" s="59"/>
      <c r="O88" s="59"/>
      <c r="P88" s="59"/>
      <c r="Q88" s="59"/>
      <c r="R88" s="59"/>
      <c r="S88" s="59"/>
    </row>
    <row r="89" spans="7:20" ht="15.75" customHeight="1">
      <c r="G89" s="16">
        <v>78</v>
      </c>
      <c r="H89" s="16">
        <v>84</v>
      </c>
      <c r="I89" s="88"/>
      <c r="J89" s="59"/>
      <c r="K89" s="59"/>
      <c r="L89" s="59"/>
      <c r="M89" s="59"/>
      <c r="N89" s="59"/>
      <c r="O89" s="59"/>
      <c r="P89" s="59"/>
      <c r="Q89" s="59"/>
      <c r="R89" s="59"/>
      <c r="S89" s="59"/>
    </row>
    <row r="90" spans="7:20" ht="15.75" customHeight="1">
      <c r="G90" s="16">
        <v>81</v>
      </c>
      <c r="H90" s="16">
        <v>84.2</v>
      </c>
      <c r="I90" s="88"/>
      <c r="J90" s="59"/>
      <c r="K90" s="59"/>
      <c r="L90" s="59"/>
      <c r="M90" s="59"/>
      <c r="N90" s="59"/>
      <c r="O90" s="59"/>
      <c r="P90" s="59"/>
      <c r="Q90" s="59"/>
      <c r="R90" s="59"/>
      <c r="S90" s="59"/>
    </row>
    <row r="91" spans="7:20" ht="15.75" customHeight="1">
      <c r="G91" s="16">
        <v>84</v>
      </c>
      <c r="H91" s="16">
        <v>84.3</v>
      </c>
      <c r="I91" s="88"/>
      <c r="J91" s="59"/>
      <c r="K91" s="59"/>
      <c r="L91" s="59"/>
      <c r="M91" s="59"/>
      <c r="N91" s="59"/>
      <c r="O91" s="59"/>
      <c r="P91" s="59"/>
      <c r="Q91" s="59"/>
      <c r="R91" s="59"/>
      <c r="S91" s="59"/>
    </row>
    <row r="92" spans="7:20" ht="15.75" customHeight="1">
      <c r="G92" s="16">
        <v>87</v>
      </c>
      <c r="H92" s="16">
        <v>84.5</v>
      </c>
      <c r="I92" s="88"/>
      <c r="J92" s="59"/>
      <c r="K92" s="59"/>
      <c r="L92" s="59"/>
      <c r="M92" s="59"/>
      <c r="N92" s="59"/>
      <c r="O92" s="59"/>
      <c r="P92" s="59"/>
      <c r="Q92" s="59"/>
      <c r="R92" s="59"/>
      <c r="S92" s="59"/>
    </row>
    <row r="93" spans="7:20" ht="15.75" customHeight="1">
      <c r="G93" s="16">
        <v>90</v>
      </c>
      <c r="H93" s="16">
        <v>84.7</v>
      </c>
      <c r="I93" s="88"/>
      <c r="J93" s="59"/>
      <c r="K93" s="59"/>
      <c r="L93" s="59"/>
      <c r="M93" s="59"/>
      <c r="N93" s="59"/>
      <c r="O93" s="59"/>
      <c r="P93" s="59"/>
      <c r="Q93" s="59"/>
      <c r="R93" s="59"/>
      <c r="S93" s="59"/>
    </row>
    <row r="94" spans="7:20" ht="15.75" customHeight="1">
      <c r="G94" s="16">
        <v>93</v>
      </c>
      <c r="H94" s="16">
        <v>84.8</v>
      </c>
      <c r="I94" s="88"/>
      <c r="J94" s="59"/>
      <c r="K94" s="59"/>
      <c r="L94" s="59"/>
      <c r="M94" s="59"/>
      <c r="N94" s="59"/>
      <c r="O94" s="59"/>
      <c r="P94" s="59"/>
      <c r="Q94" s="59"/>
      <c r="R94" s="59"/>
      <c r="S94" s="59"/>
    </row>
    <row r="95" spans="7:20" ht="15.75" customHeight="1">
      <c r="G95" s="16">
        <v>96</v>
      </c>
      <c r="H95" s="16">
        <v>85</v>
      </c>
      <c r="I95" s="88"/>
      <c r="J95" s="59"/>
      <c r="K95" s="59"/>
      <c r="L95" s="59"/>
      <c r="M95" s="59"/>
      <c r="N95" s="59"/>
      <c r="O95" s="59"/>
      <c r="P95" s="59"/>
      <c r="Q95" s="59"/>
      <c r="R95" s="59"/>
      <c r="S95" s="59"/>
    </row>
    <row r="96" spans="7:20" ht="15.75" customHeight="1">
      <c r="G96" s="16">
        <v>99</v>
      </c>
      <c r="H96" s="16">
        <v>85.1</v>
      </c>
      <c r="I96" s="88"/>
      <c r="J96" s="59"/>
      <c r="K96" s="59"/>
      <c r="L96" s="59"/>
      <c r="M96" s="59"/>
      <c r="N96" s="59"/>
      <c r="O96" s="59"/>
      <c r="P96" s="59"/>
      <c r="Q96" s="59"/>
      <c r="R96" s="59"/>
      <c r="S96" s="59"/>
    </row>
    <row r="97" spans="7:19" ht="15.75" customHeight="1">
      <c r="G97" s="16">
        <v>102</v>
      </c>
      <c r="H97" s="16">
        <v>85.2</v>
      </c>
      <c r="I97" s="88"/>
      <c r="J97" s="59"/>
      <c r="K97" s="59"/>
      <c r="L97" s="59"/>
      <c r="M97" s="59"/>
      <c r="N97" s="59"/>
      <c r="O97" s="59"/>
      <c r="P97" s="59"/>
      <c r="Q97" s="59"/>
      <c r="R97" s="59"/>
      <c r="S97" s="59"/>
    </row>
    <row r="98" spans="7:19" ht="15.75" customHeight="1">
      <c r="G98" s="16">
        <v>105</v>
      </c>
      <c r="H98" s="16">
        <v>85.3</v>
      </c>
      <c r="I98" s="88"/>
      <c r="J98" s="59"/>
      <c r="K98" s="59"/>
      <c r="L98" s="59"/>
      <c r="M98" s="59"/>
      <c r="N98" s="59"/>
      <c r="O98" s="59"/>
      <c r="P98" s="59"/>
      <c r="Q98" s="59"/>
      <c r="R98" s="59"/>
      <c r="S98" s="59"/>
    </row>
    <row r="99" spans="7:19" ht="15.75" customHeight="1">
      <c r="G99" s="16">
        <v>108</v>
      </c>
      <c r="H99" s="16">
        <v>85.4</v>
      </c>
      <c r="I99" s="88"/>
      <c r="J99" s="59"/>
      <c r="K99" s="59"/>
      <c r="L99" s="59"/>
      <c r="M99" s="59"/>
      <c r="N99" s="59"/>
      <c r="O99" s="59"/>
      <c r="P99" s="59"/>
      <c r="Q99" s="59"/>
      <c r="R99" s="59"/>
      <c r="S99" s="59"/>
    </row>
    <row r="100" spans="7:19" ht="15.75" customHeight="1">
      <c r="G100" s="16">
        <v>111</v>
      </c>
      <c r="H100" s="16">
        <v>85.5</v>
      </c>
      <c r="I100" s="88"/>
      <c r="J100" s="59"/>
      <c r="K100" s="59"/>
      <c r="L100" s="59"/>
      <c r="M100" s="59"/>
      <c r="N100" s="59"/>
      <c r="O100" s="59"/>
      <c r="P100" s="59"/>
      <c r="Q100" s="59"/>
      <c r="R100" s="59"/>
      <c r="S100" s="59"/>
    </row>
    <row r="101" spans="7:19" ht="15.75" customHeight="1">
      <c r="G101" s="16">
        <v>114</v>
      </c>
      <c r="H101" s="16">
        <v>85.6</v>
      </c>
      <c r="I101" s="88"/>
      <c r="J101" s="59"/>
      <c r="K101" s="59"/>
      <c r="L101" s="59"/>
      <c r="M101" s="59"/>
      <c r="N101" s="59"/>
      <c r="O101" s="59"/>
      <c r="P101" s="59"/>
      <c r="Q101" s="59"/>
      <c r="R101" s="59"/>
      <c r="S101" s="59"/>
    </row>
    <row r="102" spans="7:19" ht="15.75" customHeight="1">
      <c r="G102" s="16">
        <v>117</v>
      </c>
      <c r="H102" s="16">
        <v>85.7</v>
      </c>
      <c r="I102" s="88"/>
      <c r="J102" s="59"/>
      <c r="K102" s="59"/>
      <c r="L102" s="59"/>
      <c r="M102" s="59"/>
      <c r="N102" s="59"/>
      <c r="O102" s="59"/>
      <c r="P102" s="59"/>
      <c r="Q102" s="59"/>
      <c r="R102" s="59"/>
      <c r="S102" s="59"/>
    </row>
    <row r="103" spans="7:19" ht="15.75" customHeight="1">
      <c r="G103" s="16">
        <v>120</v>
      </c>
      <c r="H103" s="16">
        <v>85.8</v>
      </c>
      <c r="I103" s="88"/>
      <c r="J103" s="59"/>
      <c r="K103" s="59"/>
      <c r="L103" s="59"/>
      <c r="M103" s="59"/>
      <c r="N103" s="59"/>
      <c r="O103" s="59"/>
      <c r="P103" s="59"/>
      <c r="Q103" s="59"/>
      <c r="R103" s="59"/>
      <c r="S103" s="59"/>
    </row>
    <row r="104" spans="7:19" ht="15.75" customHeight="1">
      <c r="G104" s="16">
        <v>123</v>
      </c>
      <c r="H104" s="16">
        <v>85.9</v>
      </c>
      <c r="I104" s="88"/>
      <c r="J104" s="59"/>
      <c r="K104" s="59"/>
      <c r="L104" s="59"/>
      <c r="M104" s="59"/>
      <c r="N104" s="59"/>
      <c r="O104" s="59"/>
      <c r="P104" s="59"/>
      <c r="Q104" s="59"/>
      <c r="R104" s="59"/>
      <c r="S104" s="59"/>
    </row>
    <row r="105" spans="7:19" ht="15.75" customHeight="1">
      <c r="G105" s="16">
        <v>126</v>
      </c>
      <c r="H105" s="16">
        <v>85.91</v>
      </c>
      <c r="I105" s="88"/>
      <c r="J105" s="59"/>
      <c r="K105" s="59"/>
      <c r="L105" s="59"/>
      <c r="M105" s="59"/>
      <c r="N105" s="59"/>
      <c r="O105" s="59"/>
      <c r="P105" s="59"/>
      <c r="Q105" s="59"/>
      <c r="R105" s="59"/>
      <c r="S105" s="59"/>
    </row>
    <row r="106" spans="7:19" ht="15.75" customHeight="1">
      <c r="G106" s="16">
        <v>129</v>
      </c>
      <c r="H106" s="16">
        <v>86</v>
      </c>
      <c r="I106" s="88"/>
      <c r="J106" s="59"/>
      <c r="K106" s="59"/>
      <c r="L106" s="59"/>
      <c r="M106" s="59"/>
      <c r="N106" s="59"/>
      <c r="O106" s="59"/>
      <c r="P106" s="59"/>
      <c r="Q106" s="59"/>
      <c r="R106" s="59"/>
      <c r="S106" s="59"/>
    </row>
    <row r="107" spans="7:19" ht="15.75" customHeight="1">
      <c r="G107" s="16">
        <v>132</v>
      </c>
      <c r="H107" s="16">
        <v>86.1</v>
      </c>
      <c r="I107" s="88"/>
      <c r="J107" s="59"/>
      <c r="K107" s="59"/>
      <c r="L107" s="59"/>
      <c r="M107" s="59"/>
      <c r="N107" s="59"/>
      <c r="O107" s="59"/>
      <c r="P107" s="59"/>
      <c r="Q107" s="59"/>
      <c r="R107" s="59"/>
      <c r="S107" s="59"/>
    </row>
    <row r="108" spans="7:19" ht="15.75" customHeight="1">
      <c r="G108" s="16">
        <v>135</v>
      </c>
      <c r="H108" s="16">
        <v>86.2</v>
      </c>
      <c r="I108" s="88"/>
      <c r="J108" s="59"/>
      <c r="K108" s="59"/>
      <c r="L108" s="59"/>
      <c r="M108" s="59"/>
      <c r="N108" s="59"/>
      <c r="O108" s="59"/>
      <c r="P108" s="59"/>
      <c r="Q108" s="59"/>
      <c r="R108" s="59"/>
      <c r="S108" s="59"/>
    </row>
    <row r="109" spans="7:19" ht="15.75" customHeight="1">
      <c r="G109" s="16">
        <v>138</v>
      </c>
      <c r="H109" s="16">
        <v>86.3</v>
      </c>
      <c r="I109" s="88"/>
      <c r="J109" s="59"/>
      <c r="K109" s="59"/>
      <c r="L109" s="59"/>
      <c r="M109" s="59"/>
      <c r="N109" s="59"/>
      <c r="O109" s="59"/>
      <c r="P109" s="59"/>
      <c r="Q109" s="59"/>
      <c r="R109" s="59"/>
      <c r="S109" s="59"/>
    </row>
    <row r="110" spans="7:19" ht="15.75" customHeight="1">
      <c r="G110" s="16">
        <v>141</v>
      </c>
      <c r="H110" s="16">
        <v>86.4</v>
      </c>
      <c r="I110" s="88"/>
      <c r="J110" s="59"/>
      <c r="K110" s="59"/>
      <c r="L110" s="59"/>
      <c r="M110" s="59"/>
      <c r="N110" s="59"/>
      <c r="O110" s="59"/>
      <c r="P110" s="59"/>
      <c r="Q110" s="59"/>
      <c r="R110" s="59"/>
      <c r="S110" s="59"/>
    </row>
    <row r="111" spans="7:19" ht="15.75" customHeight="1">
      <c r="G111" s="16">
        <v>144</v>
      </c>
      <c r="H111" s="16">
        <v>86.5</v>
      </c>
      <c r="I111" s="88"/>
      <c r="J111" s="59"/>
      <c r="K111" s="59"/>
      <c r="L111" s="59"/>
      <c r="M111" s="59"/>
      <c r="N111" s="59"/>
      <c r="O111" s="59"/>
      <c r="P111" s="59"/>
      <c r="Q111" s="59"/>
      <c r="R111" s="59"/>
      <c r="S111" s="59"/>
    </row>
    <row r="112" spans="7:19" ht="15.75" customHeight="1">
      <c r="G112" s="16">
        <v>147</v>
      </c>
      <c r="H112" s="16">
        <v>86.6</v>
      </c>
      <c r="I112" s="88"/>
      <c r="J112" s="59"/>
      <c r="K112" s="59"/>
      <c r="L112" s="59"/>
      <c r="M112" s="59"/>
      <c r="N112" s="59"/>
      <c r="O112" s="59"/>
      <c r="P112" s="59"/>
      <c r="Q112" s="59"/>
      <c r="R112" s="59"/>
      <c r="S112" s="59"/>
    </row>
    <row r="113" spans="7:19" ht="15.75" customHeight="1">
      <c r="G113" s="16">
        <v>150</v>
      </c>
      <c r="H113" s="16">
        <v>86.61</v>
      </c>
      <c r="I113" s="88"/>
      <c r="J113" s="59"/>
      <c r="K113" s="59"/>
      <c r="L113" s="59"/>
      <c r="M113" s="59"/>
      <c r="N113" s="59"/>
      <c r="O113" s="59"/>
      <c r="P113" s="59"/>
      <c r="Q113" s="59"/>
      <c r="R113" s="59"/>
      <c r="S113" s="59"/>
    </row>
    <row r="114" spans="7:19" ht="15.75" customHeight="1">
      <c r="G114" s="16">
        <v>153</v>
      </c>
      <c r="H114" s="16">
        <v>86.7</v>
      </c>
      <c r="I114" s="88"/>
      <c r="J114" s="59"/>
      <c r="K114" s="59"/>
      <c r="L114" s="59"/>
      <c r="M114" s="59"/>
      <c r="N114" s="59"/>
      <c r="O114" s="59"/>
      <c r="P114" s="59"/>
      <c r="Q114" s="59"/>
      <c r="R114" s="59"/>
      <c r="S114" s="59"/>
    </row>
    <row r="115" spans="7:19" ht="15.75" customHeight="1">
      <c r="G115" s="16">
        <v>156</v>
      </c>
      <c r="H115" s="16">
        <v>86.71</v>
      </c>
      <c r="I115" s="88"/>
      <c r="J115" s="59"/>
      <c r="K115" s="59"/>
      <c r="L115" s="59"/>
      <c r="M115" s="59"/>
      <c r="N115" s="59"/>
      <c r="O115" s="59"/>
      <c r="P115" s="59"/>
      <c r="Q115" s="59"/>
      <c r="R115" s="59"/>
      <c r="S115" s="59"/>
    </row>
    <row r="116" spans="7:19" ht="15.75" customHeight="1">
      <c r="G116" s="16">
        <v>159</v>
      </c>
      <c r="H116" s="16">
        <v>86.8</v>
      </c>
      <c r="I116" s="88"/>
      <c r="J116" s="59"/>
      <c r="K116" s="59"/>
      <c r="L116" s="59"/>
      <c r="M116" s="59"/>
      <c r="N116" s="59"/>
      <c r="O116" s="59"/>
      <c r="P116" s="59"/>
      <c r="Q116" s="59"/>
      <c r="R116" s="59"/>
      <c r="S116" s="59"/>
    </row>
    <row r="117" spans="7:19" ht="15.75" customHeight="1">
      <c r="G117" s="16">
        <v>162</v>
      </c>
      <c r="H117" s="16">
        <v>86.9</v>
      </c>
      <c r="I117" s="88"/>
      <c r="J117" s="59"/>
      <c r="K117" s="59"/>
      <c r="L117" s="59"/>
      <c r="M117" s="59"/>
      <c r="N117" s="59"/>
      <c r="O117" s="59"/>
      <c r="P117" s="59"/>
      <c r="Q117" s="59"/>
      <c r="R117" s="59"/>
      <c r="S117" s="59"/>
    </row>
    <row r="118" spans="7:19" ht="15.75" customHeight="1">
      <c r="G118" s="16">
        <v>165</v>
      </c>
      <c r="H118" s="16">
        <v>87</v>
      </c>
      <c r="I118" s="88"/>
      <c r="J118" s="59"/>
      <c r="K118" s="59"/>
      <c r="L118" s="59"/>
      <c r="M118" s="59"/>
      <c r="N118" s="59"/>
      <c r="O118" s="59"/>
      <c r="P118" s="59"/>
      <c r="Q118" s="59"/>
      <c r="R118" s="59"/>
      <c r="S118" s="59"/>
    </row>
    <row r="119" spans="7:19" ht="15.75" customHeight="1">
      <c r="G119" s="16">
        <v>168</v>
      </c>
      <c r="H119" s="16">
        <v>87.1</v>
      </c>
      <c r="I119" s="88"/>
      <c r="J119" s="59"/>
      <c r="K119" s="59"/>
      <c r="L119" s="59"/>
      <c r="M119" s="59"/>
      <c r="N119" s="59"/>
      <c r="O119" s="59"/>
      <c r="P119" s="59"/>
      <c r="Q119" s="59"/>
      <c r="R119" s="59"/>
      <c r="S119" s="59"/>
    </row>
    <row r="120" spans="7:19" ht="15.75" customHeight="1">
      <c r="G120" s="16">
        <v>171</v>
      </c>
      <c r="H120" s="16">
        <v>87.11</v>
      </c>
      <c r="I120" s="88"/>
      <c r="J120" s="59"/>
      <c r="K120" s="59"/>
      <c r="L120" s="59"/>
      <c r="M120" s="59"/>
      <c r="N120" s="59"/>
      <c r="O120" s="59"/>
      <c r="P120" s="59"/>
      <c r="Q120" s="59"/>
      <c r="R120" s="59"/>
      <c r="S120" s="59"/>
    </row>
    <row r="121" spans="7:19" ht="15.75" customHeight="1">
      <c r="G121" s="16">
        <v>174</v>
      </c>
      <c r="H121" s="16">
        <v>87.12</v>
      </c>
      <c r="I121" s="88"/>
      <c r="J121" s="59"/>
      <c r="K121" s="59"/>
      <c r="L121" s="59"/>
      <c r="M121" s="59"/>
      <c r="N121" s="59"/>
      <c r="O121" s="59"/>
      <c r="P121" s="59"/>
      <c r="Q121" s="59"/>
      <c r="R121" s="59"/>
      <c r="S121" s="59"/>
    </row>
    <row r="122" spans="7:19" ht="15.75" customHeight="1">
      <c r="G122" s="16">
        <v>177</v>
      </c>
      <c r="H122" s="16">
        <v>87.2</v>
      </c>
      <c r="I122" s="88"/>
      <c r="J122" s="59"/>
      <c r="K122" s="59"/>
      <c r="L122" s="59"/>
      <c r="M122" s="59"/>
      <c r="N122" s="59"/>
      <c r="O122" s="59"/>
      <c r="P122" s="59"/>
      <c r="Q122" s="59"/>
      <c r="R122" s="59"/>
      <c r="S122" s="59"/>
    </row>
    <row r="123" spans="7:19" ht="15.75" customHeight="1">
      <c r="G123" s="16">
        <v>180</v>
      </c>
      <c r="H123" s="16">
        <v>87.21</v>
      </c>
      <c r="I123" s="88"/>
      <c r="J123" s="59"/>
      <c r="K123" s="59"/>
      <c r="L123" s="59"/>
      <c r="M123" s="59"/>
      <c r="N123" s="59"/>
      <c r="O123" s="59"/>
      <c r="P123" s="59"/>
      <c r="Q123" s="59"/>
      <c r="R123" s="59"/>
      <c r="S123" s="59"/>
    </row>
    <row r="124" spans="7:19" ht="15.75" customHeight="1">
      <c r="G124" s="16">
        <v>183</v>
      </c>
      <c r="H124" s="16">
        <v>87.2</v>
      </c>
      <c r="I124" s="88"/>
      <c r="J124" s="59"/>
      <c r="K124" s="59"/>
      <c r="L124" s="59"/>
      <c r="M124" s="59"/>
      <c r="N124" s="59"/>
      <c r="O124" s="59"/>
      <c r="P124" s="59"/>
      <c r="Q124" s="59"/>
      <c r="R124" s="59"/>
      <c r="S124" s="59"/>
    </row>
    <row r="125" spans="7:19" ht="15.75" customHeight="1">
      <c r="G125" s="16">
        <v>186</v>
      </c>
      <c r="H125" s="16">
        <v>87.3</v>
      </c>
      <c r="I125" s="88"/>
    </row>
    <row r="126" spans="7:19" ht="15.75" customHeight="1">
      <c r="G126" s="16">
        <v>189</v>
      </c>
      <c r="H126" s="16">
        <v>87.31</v>
      </c>
      <c r="I126" s="88"/>
    </row>
    <row r="127" spans="7:19" ht="15.75" customHeight="1">
      <c r="G127" s="16">
        <v>192</v>
      </c>
      <c r="H127" s="16">
        <v>87.4</v>
      </c>
      <c r="I127" s="88"/>
    </row>
    <row r="128" spans="7:19" ht="15.75" customHeight="1">
      <c r="G128" s="16">
        <v>195</v>
      </c>
      <c r="H128" s="16">
        <v>87.41</v>
      </c>
      <c r="I128" s="88"/>
    </row>
    <row r="129" spans="7:9" ht="15.75" customHeight="1">
      <c r="G129" s="16">
        <v>198</v>
      </c>
      <c r="H129" s="16">
        <v>87.4</v>
      </c>
      <c r="I129" s="88"/>
    </row>
    <row r="130" spans="7:9" ht="15.75" customHeight="1">
      <c r="G130" s="16">
        <v>201</v>
      </c>
      <c r="H130" s="16">
        <v>87.5</v>
      </c>
      <c r="I130" s="88"/>
    </row>
    <row r="131" spans="7:9" ht="15.75" customHeight="1"/>
    <row r="132" spans="7:9" ht="15.75" customHeight="1"/>
    <row r="133" spans="7:9" ht="15.75" customHeight="1"/>
    <row r="134" spans="7:9" ht="15.75" customHeight="1"/>
    <row r="135" spans="7:9" ht="15.75" customHeight="1"/>
    <row r="136" spans="7:9" ht="15.75" customHeight="1"/>
    <row r="137" spans="7:9" ht="15.75" customHeight="1"/>
    <row r="138" spans="7:9" ht="15.75" customHeight="1"/>
    <row r="139" spans="7:9" ht="15.75" customHeight="1"/>
    <row r="140" spans="7:9" ht="15.75" customHeight="1"/>
    <row r="141" spans="7:9" ht="15.75" customHeight="1"/>
    <row r="142" spans="7:9" ht="15.75" customHeight="1"/>
    <row r="143" spans="7:9" ht="15.75" customHeight="1"/>
    <row r="144" spans="7:9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sheetProtection algorithmName="SHA-512" hashValue="hEuYt6rhGD/nZeEpXucVbBbpsVskoGc0r/mlROh2Jwx3bru30jFtG+RSBeZBX8DrfslGk5hiAjJLoD9xYvQW6Q==" saltValue="R1lNGuXwQroCVa7aXkQxKQ==" spinCount="100000" sheet="1" objects="1" scenarios="1"/>
  <mergeCells count="21">
    <mergeCell ref="Y30:AA30"/>
    <mergeCell ref="V79:Z80"/>
    <mergeCell ref="S3:V5"/>
    <mergeCell ref="J57:M58"/>
    <mergeCell ref="K3:M5"/>
    <mergeCell ref="K7:L7"/>
    <mergeCell ref="U30:W30"/>
    <mergeCell ref="S7:T7"/>
    <mergeCell ref="O57:R58"/>
    <mergeCell ref="O7:P7"/>
    <mergeCell ref="O3:Q5"/>
    <mergeCell ref="B33:C33"/>
    <mergeCell ref="G3:I5"/>
    <mergeCell ref="G8:H8"/>
    <mergeCell ref="G35:H35"/>
    <mergeCell ref="G62:H62"/>
    <mergeCell ref="B3:C4"/>
    <mergeCell ref="B10:C10"/>
    <mergeCell ref="B24:C24"/>
    <mergeCell ref="B30:C30"/>
    <mergeCell ref="B6:C6"/>
  </mergeCells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88"/>
  <sheetViews>
    <sheetView showGridLines="0" topLeftCell="A12" workbookViewId="0">
      <selection activeCell="B38" sqref="B38"/>
    </sheetView>
  </sheetViews>
  <sheetFormatPr baseColWidth="10" defaultColWidth="14.5" defaultRowHeight="15" customHeight="1"/>
  <cols>
    <col min="1" max="1" width="18.33203125" customWidth="1"/>
    <col min="2" max="2" width="31.5" customWidth="1"/>
    <col min="3" max="3" width="23.33203125" customWidth="1"/>
    <col min="4" max="4" width="15.5" customWidth="1"/>
    <col min="5" max="5" width="3" customWidth="1"/>
    <col min="6" max="6" width="5.6640625" customWidth="1"/>
    <col min="7" max="7" width="9.33203125" customWidth="1"/>
    <col min="8" max="26" width="11.5" customWidth="1"/>
  </cols>
  <sheetData>
    <row r="1" spans="1:26" ht="32.25" customHeight="1"/>
    <row r="2" spans="1:26" ht="27.75" customHeight="1">
      <c r="A2" s="191" t="s">
        <v>3</v>
      </c>
      <c r="B2" s="192"/>
      <c r="C2" s="193"/>
      <c r="D2" s="2"/>
      <c r="E2" s="2"/>
      <c r="F2" s="2"/>
      <c r="G2" s="2"/>
      <c r="H2" s="2"/>
    </row>
    <row r="3" spans="1:26" ht="15" customHeight="1">
      <c r="A3" s="194"/>
      <c r="B3" s="185"/>
      <c r="C3" s="195"/>
      <c r="D3" s="2"/>
      <c r="E3" s="2"/>
      <c r="F3" s="2"/>
      <c r="G3" s="2"/>
      <c r="H3" s="2"/>
    </row>
    <row r="4" spans="1:26" ht="19">
      <c r="A4" s="196"/>
      <c r="B4" s="197"/>
      <c r="C4" s="198"/>
      <c r="D4" s="2"/>
      <c r="E4" s="2"/>
      <c r="F4" s="2"/>
      <c r="G4" s="2"/>
      <c r="H4" s="2"/>
      <c r="I4" s="191"/>
      <c r="J4" s="193"/>
      <c r="K4" s="191"/>
      <c r="L4" s="193"/>
      <c r="M4" s="191"/>
      <c r="N4" s="193"/>
      <c r="O4" s="191"/>
      <c r="P4" s="193"/>
      <c r="Q4" s="191"/>
      <c r="R4" s="193"/>
      <c r="S4" s="191"/>
      <c r="T4" s="193"/>
      <c r="U4" s="191"/>
      <c r="V4" s="193"/>
      <c r="W4" s="199"/>
      <c r="X4" s="13"/>
      <c r="Y4" s="13"/>
      <c r="Z4" s="13"/>
    </row>
    <row r="5" spans="1:26" ht="19">
      <c r="A5" s="2"/>
      <c r="B5" s="2"/>
      <c r="C5" s="2"/>
      <c r="D5" s="2"/>
      <c r="E5" s="2"/>
      <c r="F5" s="2"/>
      <c r="G5" s="2"/>
      <c r="H5" s="2"/>
      <c r="I5" s="196"/>
      <c r="J5" s="198"/>
      <c r="K5" s="196"/>
      <c r="L5" s="198"/>
      <c r="M5" s="196"/>
      <c r="N5" s="198"/>
      <c r="O5" s="196"/>
      <c r="P5" s="198"/>
      <c r="Q5" s="196"/>
      <c r="R5" s="198"/>
      <c r="S5" s="196"/>
      <c r="T5" s="198"/>
      <c r="U5" s="196"/>
      <c r="V5" s="198"/>
      <c r="W5" s="175"/>
      <c r="X5" s="13"/>
      <c r="Y5" s="13"/>
      <c r="Z5" s="13"/>
    </row>
    <row r="6" spans="1:26" ht="18">
      <c r="A6" s="53" t="s">
        <v>63</v>
      </c>
      <c r="B6" s="54" t="s">
        <v>64</v>
      </c>
      <c r="C6" s="14"/>
    </row>
    <row r="7" spans="1:26" ht="19.5" customHeight="1">
      <c r="A7" s="188" t="s">
        <v>4</v>
      </c>
      <c r="B7" s="189"/>
      <c r="C7" s="190"/>
      <c r="D7" s="15"/>
    </row>
    <row r="8" spans="1:26" ht="18">
      <c r="A8" s="16">
        <v>0</v>
      </c>
      <c r="B8" s="16">
        <v>0</v>
      </c>
      <c r="C8" s="16">
        <v>0</v>
      </c>
      <c r="D8" s="17"/>
      <c r="E8" s="8"/>
      <c r="F8" s="18"/>
      <c r="G8" s="5"/>
    </row>
    <row r="9" spans="1:26" ht="15.75" customHeight="1">
      <c r="A9" s="16">
        <v>3</v>
      </c>
      <c r="B9" s="16">
        <v>0.06</v>
      </c>
      <c r="C9" s="16">
        <v>0.06</v>
      </c>
      <c r="D9" s="19"/>
      <c r="E9" s="20"/>
      <c r="F9" s="19"/>
    </row>
    <row r="10" spans="1:26" ht="15.75" customHeight="1">
      <c r="A10" s="16">
        <v>6</v>
      </c>
      <c r="B10" s="16">
        <v>1</v>
      </c>
      <c r="C10" s="16">
        <v>1</v>
      </c>
      <c r="D10" s="19"/>
      <c r="E10" s="21"/>
      <c r="F10" s="19"/>
    </row>
    <row r="11" spans="1:26" ht="15.75" customHeight="1">
      <c r="A11" s="16">
        <v>9</v>
      </c>
      <c r="B11" s="16">
        <v>2.0499999999999998</v>
      </c>
      <c r="C11" s="16">
        <v>2.0499999999999998</v>
      </c>
    </row>
    <row r="12" spans="1:26" ht="15.75" customHeight="1">
      <c r="A12" s="16">
        <v>12</v>
      </c>
      <c r="B12" s="16">
        <v>2.23</v>
      </c>
      <c r="C12" s="16">
        <v>2.23</v>
      </c>
    </row>
    <row r="13" spans="1:26" ht="15.75" customHeight="1">
      <c r="A13" s="16">
        <v>15</v>
      </c>
      <c r="B13" s="16">
        <v>2.2999999999999998</v>
      </c>
      <c r="C13" s="16">
        <v>2.2999999999999998</v>
      </c>
    </row>
    <row r="14" spans="1:26" ht="15.75" customHeight="1">
      <c r="A14" s="16">
        <v>18</v>
      </c>
      <c r="B14" s="16">
        <v>2.46</v>
      </c>
      <c r="C14" s="16">
        <v>2.46</v>
      </c>
    </row>
    <row r="15" spans="1:26" ht="15.75" customHeight="1">
      <c r="A15" s="16">
        <v>21</v>
      </c>
      <c r="B15" s="16">
        <v>2.56</v>
      </c>
      <c r="C15" s="16">
        <v>2.56</v>
      </c>
    </row>
    <row r="16" spans="1:26" ht="15.75" customHeight="1">
      <c r="A16" s="16">
        <v>24</v>
      </c>
      <c r="B16" s="16">
        <v>2.73</v>
      </c>
      <c r="C16" s="16">
        <v>2.73</v>
      </c>
    </row>
    <row r="17" spans="1:3" ht="15.75" customHeight="1">
      <c r="A17" s="16">
        <v>27</v>
      </c>
      <c r="B17" s="16">
        <v>2.82</v>
      </c>
      <c r="C17" s="16">
        <v>2.82</v>
      </c>
    </row>
    <row r="18" spans="1:3" ht="15.75" customHeight="1">
      <c r="A18" s="16">
        <v>30</v>
      </c>
      <c r="B18" s="16">
        <v>2.91</v>
      </c>
      <c r="C18" s="16">
        <v>2.91</v>
      </c>
    </row>
    <row r="19" spans="1:3" ht="15.75" customHeight="1">
      <c r="A19" s="16">
        <v>33</v>
      </c>
      <c r="B19" s="16">
        <v>2.97</v>
      </c>
      <c r="C19" s="16">
        <v>2.97</v>
      </c>
    </row>
    <row r="20" spans="1:3" ht="15.75" customHeight="1">
      <c r="A20" s="16">
        <v>36</v>
      </c>
      <c r="B20" s="16">
        <v>3.07</v>
      </c>
      <c r="C20" s="16">
        <v>3.07</v>
      </c>
    </row>
    <row r="21" spans="1:3" ht="15.75" customHeight="1">
      <c r="A21" s="16">
        <v>39</v>
      </c>
      <c r="B21" s="16">
        <v>3.16</v>
      </c>
      <c r="C21" s="16">
        <v>3.16</v>
      </c>
    </row>
    <row r="22" spans="1:3" ht="15.75" customHeight="1">
      <c r="A22" s="16">
        <v>42</v>
      </c>
      <c r="B22" s="16">
        <v>3.22</v>
      </c>
      <c r="C22" s="16">
        <v>3.22</v>
      </c>
    </row>
    <row r="23" spans="1:3" ht="15.75" customHeight="1">
      <c r="A23" s="16">
        <v>45</v>
      </c>
      <c r="B23" s="16">
        <v>3.27</v>
      </c>
      <c r="C23" s="16">
        <v>3.27</v>
      </c>
    </row>
    <row r="24" spans="1:3" ht="15.75" customHeight="1">
      <c r="A24" s="16">
        <v>48</v>
      </c>
      <c r="B24" s="16">
        <v>3.34</v>
      </c>
      <c r="C24" s="16">
        <v>3.34</v>
      </c>
    </row>
    <row r="25" spans="1:3" ht="15.75" customHeight="1">
      <c r="A25" s="16">
        <v>51</v>
      </c>
      <c r="B25" s="16">
        <v>3.37</v>
      </c>
      <c r="C25" s="16">
        <v>3.37</v>
      </c>
    </row>
    <row r="26" spans="1:3" ht="15.75" customHeight="1">
      <c r="A26" s="16">
        <v>54</v>
      </c>
      <c r="B26" s="16">
        <v>3.41</v>
      </c>
      <c r="C26" s="16">
        <v>3.41</v>
      </c>
    </row>
    <row r="27" spans="1:3" ht="15.75" customHeight="1">
      <c r="A27" s="16">
        <v>57</v>
      </c>
      <c r="B27" s="16">
        <v>3.44</v>
      </c>
      <c r="C27" s="16">
        <v>3.44</v>
      </c>
    </row>
    <row r="28" spans="1:3" ht="15.75" customHeight="1">
      <c r="A28" s="16">
        <v>60</v>
      </c>
      <c r="B28" s="16">
        <v>3.46</v>
      </c>
      <c r="C28" s="16">
        <v>3.46</v>
      </c>
    </row>
    <row r="29" spans="1:3" ht="15.75" customHeight="1">
      <c r="A29" s="16">
        <v>63</v>
      </c>
      <c r="B29" s="16">
        <v>3.48</v>
      </c>
      <c r="C29" s="16">
        <v>3.48</v>
      </c>
    </row>
    <row r="30" spans="1:3" ht="15.75" customHeight="1">
      <c r="A30" s="16">
        <v>66</v>
      </c>
      <c r="B30" s="16">
        <v>3.49</v>
      </c>
      <c r="C30" s="16">
        <v>3.49</v>
      </c>
    </row>
    <row r="31" spans="1:3" ht="15.75" customHeight="1">
      <c r="A31" s="16">
        <v>69</v>
      </c>
      <c r="B31" s="16">
        <v>3.5</v>
      </c>
      <c r="C31" s="16">
        <v>3.5</v>
      </c>
    </row>
    <row r="32" spans="1:3" ht="15.75" customHeight="1">
      <c r="A32" s="16">
        <v>72</v>
      </c>
      <c r="B32" s="16">
        <v>3.51</v>
      </c>
      <c r="C32" s="16">
        <v>3.51</v>
      </c>
    </row>
    <row r="33" spans="1:6" ht="15.75" customHeight="1">
      <c r="A33" s="16">
        <v>75</v>
      </c>
      <c r="B33" s="16">
        <v>3.55</v>
      </c>
      <c r="C33" s="16">
        <v>3.55</v>
      </c>
    </row>
    <row r="34" spans="1:6" ht="19.5" customHeight="1">
      <c r="A34" s="188" t="s">
        <v>5</v>
      </c>
      <c r="B34" s="189"/>
      <c r="C34" s="190"/>
      <c r="D34" s="15"/>
    </row>
    <row r="35" spans="1:6" ht="15.75" customHeight="1">
      <c r="A35" s="16">
        <v>0</v>
      </c>
      <c r="B35" s="16">
        <v>0</v>
      </c>
      <c r="C35" s="16">
        <v>0</v>
      </c>
      <c r="D35" s="17"/>
      <c r="E35" s="8"/>
      <c r="F35" s="18"/>
    </row>
    <row r="36" spans="1:6" ht="15.75" customHeight="1">
      <c r="A36" s="16">
        <v>3</v>
      </c>
      <c r="B36" s="16">
        <v>12.5</v>
      </c>
      <c r="C36" s="16">
        <v>12.5</v>
      </c>
      <c r="D36" s="19"/>
      <c r="E36" s="20"/>
      <c r="F36" s="21"/>
    </row>
    <row r="37" spans="1:6" ht="15.75" customHeight="1">
      <c r="A37" s="16">
        <v>6</v>
      </c>
      <c r="B37" s="16">
        <v>26.1</v>
      </c>
      <c r="C37" s="16">
        <v>26.1</v>
      </c>
      <c r="D37" s="19"/>
      <c r="E37" s="21"/>
      <c r="F37" s="19"/>
    </row>
    <row r="38" spans="1:6" ht="15.75" customHeight="1">
      <c r="A38" s="16">
        <v>9</v>
      </c>
      <c r="B38" s="16">
        <v>44.9</v>
      </c>
      <c r="C38" s="16">
        <v>44.9</v>
      </c>
      <c r="D38" s="18" t="s">
        <v>6</v>
      </c>
      <c r="E38" s="8"/>
      <c r="F38" s="17"/>
    </row>
    <row r="39" spans="1:6" ht="15.75" customHeight="1">
      <c r="A39" s="16">
        <v>12</v>
      </c>
      <c r="B39" s="16">
        <v>63.7</v>
      </c>
      <c r="C39" s="16">
        <v>63.7</v>
      </c>
    </row>
    <row r="40" spans="1:6" ht="15.75" customHeight="1">
      <c r="A40" s="16">
        <v>15</v>
      </c>
      <c r="B40" s="16">
        <v>65.400000000000006</v>
      </c>
      <c r="C40" s="16">
        <v>65.400000000000006</v>
      </c>
    </row>
    <row r="41" spans="1:6" ht="15.75" customHeight="1">
      <c r="A41" s="16">
        <v>18</v>
      </c>
      <c r="B41" s="16">
        <v>63.1</v>
      </c>
      <c r="C41" s="16">
        <v>63.1</v>
      </c>
    </row>
    <row r="42" spans="1:6" ht="15.75" customHeight="1">
      <c r="A42" s="16">
        <v>21</v>
      </c>
      <c r="B42" s="16">
        <v>60</v>
      </c>
      <c r="C42" s="16">
        <v>60</v>
      </c>
    </row>
    <row r="43" spans="1:6" ht="15.75" customHeight="1">
      <c r="A43" s="16">
        <v>24</v>
      </c>
      <c r="B43" s="16">
        <v>57.3</v>
      </c>
      <c r="C43" s="16">
        <v>57.3</v>
      </c>
    </row>
    <row r="44" spans="1:6" ht="15.75" customHeight="1">
      <c r="A44" s="16">
        <v>27</v>
      </c>
      <c r="B44" s="16">
        <v>55.4</v>
      </c>
      <c r="C44" s="16">
        <v>55.4</v>
      </c>
    </row>
    <row r="45" spans="1:6" ht="15.75" customHeight="1">
      <c r="A45" s="16">
        <v>30</v>
      </c>
      <c r="B45" s="16">
        <v>53.9</v>
      </c>
      <c r="C45" s="16">
        <v>53.9</v>
      </c>
    </row>
    <row r="46" spans="1:6" ht="15.75" customHeight="1">
      <c r="A46" s="16">
        <v>33</v>
      </c>
      <c r="B46" s="16">
        <v>52.8</v>
      </c>
      <c r="C46" s="16">
        <v>52.8</v>
      </c>
    </row>
    <row r="47" spans="1:6" ht="15.75" customHeight="1">
      <c r="A47" s="16">
        <v>36</v>
      </c>
      <c r="B47" s="16">
        <v>51.6</v>
      </c>
      <c r="C47" s="16">
        <v>51.6</v>
      </c>
    </row>
    <row r="48" spans="1:6" ht="15.75" customHeight="1">
      <c r="A48" s="16">
        <v>39</v>
      </c>
      <c r="B48" s="16">
        <v>51.1</v>
      </c>
      <c r="C48" s="16">
        <v>51.1</v>
      </c>
    </row>
    <row r="49" spans="1:8" ht="15.75" customHeight="1">
      <c r="A49" s="16">
        <v>42</v>
      </c>
      <c r="B49" s="16">
        <v>50.4</v>
      </c>
      <c r="C49" s="16">
        <v>50.4</v>
      </c>
    </row>
    <row r="50" spans="1:8" ht="15.75" customHeight="1">
      <c r="A50" s="16">
        <v>45</v>
      </c>
      <c r="B50" s="16">
        <v>49.8</v>
      </c>
      <c r="C50" s="16">
        <v>49.8</v>
      </c>
    </row>
    <row r="51" spans="1:8" ht="15.75" customHeight="1">
      <c r="A51" s="16">
        <v>48</v>
      </c>
      <c r="B51" s="16">
        <v>49.2</v>
      </c>
      <c r="C51" s="16">
        <v>49.2</v>
      </c>
    </row>
    <row r="52" spans="1:8" ht="15.75" customHeight="1">
      <c r="A52" s="16">
        <v>51</v>
      </c>
      <c r="B52" s="16">
        <v>48.7</v>
      </c>
      <c r="C52" s="16">
        <v>48.7</v>
      </c>
    </row>
    <row r="53" spans="1:8" ht="15.75" customHeight="1">
      <c r="A53" s="16">
        <v>54</v>
      </c>
      <c r="B53" s="16">
        <v>48.3</v>
      </c>
      <c r="C53" s="16">
        <v>48.3</v>
      </c>
    </row>
    <row r="54" spans="1:8" ht="15.75" customHeight="1">
      <c r="A54" s="16">
        <v>57</v>
      </c>
      <c r="B54" s="16">
        <v>47.8</v>
      </c>
      <c r="C54" s="16">
        <v>47.8</v>
      </c>
    </row>
    <row r="55" spans="1:8" ht="15.75" customHeight="1">
      <c r="A55" s="16">
        <v>60</v>
      </c>
      <c r="B55" s="16">
        <v>47.4</v>
      </c>
      <c r="C55" s="16">
        <v>47.4</v>
      </c>
    </row>
    <row r="56" spans="1:8" ht="15.75" customHeight="1">
      <c r="A56" s="16">
        <v>63</v>
      </c>
      <c r="B56" s="16">
        <v>47</v>
      </c>
      <c r="C56" s="16">
        <v>47</v>
      </c>
    </row>
    <row r="57" spans="1:8" ht="15.75" customHeight="1">
      <c r="A57" s="16">
        <v>66</v>
      </c>
      <c r="B57" s="16">
        <v>46.8</v>
      </c>
      <c r="C57" s="16">
        <v>46.8</v>
      </c>
    </row>
    <row r="58" spans="1:8" ht="15.75" customHeight="1">
      <c r="A58" s="16">
        <v>69</v>
      </c>
      <c r="B58" s="16">
        <v>46.5</v>
      </c>
      <c r="C58" s="16">
        <v>46.5</v>
      </c>
    </row>
    <row r="59" spans="1:8" ht="15.75" customHeight="1">
      <c r="A59" s="16">
        <v>72</v>
      </c>
      <c r="B59" s="16">
        <v>46.2</v>
      </c>
      <c r="C59" s="16">
        <v>46.2</v>
      </c>
    </row>
    <row r="60" spans="1:8" ht="15.75" customHeight="1">
      <c r="A60" s="16">
        <v>75</v>
      </c>
      <c r="B60" s="16">
        <v>36.299999999999997</v>
      </c>
      <c r="C60" s="16">
        <v>36.299999999999997</v>
      </c>
    </row>
    <row r="61" spans="1:8" ht="19.5" customHeight="1">
      <c r="A61" s="188" t="s">
        <v>7</v>
      </c>
      <c r="B61" s="189"/>
      <c r="C61" s="190"/>
      <c r="D61" s="15"/>
    </row>
    <row r="62" spans="1:8" ht="15.75" customHeight="1">
      <c r="A62" s="16">
        <v>0</v>
      </c>
      <c r="B62" s="16">
        <v>24.8</v>
      </c>
      <c r="C62" s="16">
        <v>24.8</v>
      </c>
      <c r="D62" s="17"/>
      <c r="E62" s="8"/>
      <c r="F62" s="18"/>
      <c r="G62" s="5"/>
      <c r="H62" s="6"/>
    </row>
    <row r="63" spans="1:8" ht="15.75" customHeight="1">
      <c r="A63" s="16">
        <v>3</v>
      </c>
      <c r="B63" s="16">
        <v>18.399999999999999</v>
      </c>
      <c r="C63" s="16">
        <v>18.399999999999999</v>
      </c>
      <c r="D63" s="19"/>
      <c r="E63" s="20"/>
      <c r="F63" s="21"/>
      <c r="G63" s="6"/>
      <c r="H63" s="6"/>
    </row>
    <row r="64" spans="1:8" ht="15.75" customHeight="1">
      <c r="A64" s="16">
        <v>6</v>
      </c>
      <c r="B64" s="16">
        <v>14.6</v>
      </c>
      <c r="C64" s="16">
        <v>14.6</v>
      </c>
      <c r="D64" s="19"/>
      <c r="E64" s="21" t="s">
        <v>8</v>
      </c>
      <c r="F64" s="19"/>
      <c r="G64" s="22" t="s">
        <v>9</v>
      </c>
      <c r="H64" s="23"/>
    </row>
    <row r="65" spans="1:8" ht="15.75" customHeight="1">
      <c r="A65" s="16">
        <v>9</v>
      </c>
      <c r="B65" s="16">
        <v>11.5</v>
      </c>
      <c r="C65" s="16">
        <v>11.5</v>
      </c>
      <c r="D65" s="6"/>
      <c r="F65" s="24" t="s">
        <v>10</v>
      </c>
      <c r="H65" s="6"/>
    </row>
    <row r="66" spans="1:8" ht="15.75" customHeight="1">
      <c r="A66" s="16">
        <v>12</v>
      </c>
      <c r="B66" s="16">
        <v>12.3</v>
      </c>
      <c r="C66" s="16">
        <v>12.3</v>
      </c>
      <c r="D66" s="6"/>
      <c r="E66" s="6"/>
      <c r="F66" s="6"/>
      <c r="G66" s="6"/>
      <c r="H66" s="6"/>
    </row>
    <row r="67" spans="1:8" ht="15.75" customHeight="1">
      <c r="A67" s="16">
        <v>15</v>
      </c>
      <c r="B67" s="16">
        <v>21.7</v>
      </c>
      <c r="C67" s="16">
        <v>21.7</v>
      </c>
      <c r="D67" s="6"/>
      <c r="E67" s="6"/>
      <c r="F67" s="6"/>
      <c r="G67" s="6"/>
      <c r="H67" s="6"/>
    </row>
    <row r="68" spans="1:8" ht="15.75" customHeight="1">
      <c r="A68" s="16">
        <v>18</v>
      </c>
      <c r="B68" s="16">
        <v>30.7</v>
      </c>
      <c r="C68" s="16">
        <v>30.7</v>
      </c>
      <c r="D68" s="6"/>
      <c r="E68" s="6"/>
      <c r="F68" s="6"/>
      <c r="G68" s="6"/>
      <c r="H68" s="6"/>
    </row>
    <row r="69" spans="1:8" ht="15.75" customHeight="1">
      <c r="A69" s="16">
        <v>21</v>
      </c>
      <c r="B69" s="16">
        <v>39.5</v>
      </c>
      <c r="C69" s="16">
        <v>39.5</v>
      </c>
      <c r="D69" s="6"/>
      <c r="E69" s="6"/>
      <c r="F69" s="6"/>
      <c r="G69" s="6"/>
      <c r="H69" s="6"/>
    </row>
    <row r="70" spans="1:8" ht="15.75" customHeight="1">
      <c r="A70" s="16">
        <v>24</v>
      </c>
      <c r="B70" s="16">
        <v>48.3</v>
      </c>
      <c r="C70" s="16">
        <v>48.3</v>
      </c>
      <c r="D70" s="6"/>
      <c r="E70" s="6"/>
      <c r="F70" s="6"/>
      <c r="G70" s="6"/>
      <c r="H70" s="6"/>
    </row>
    <row r="71" spans="1:8" ht="15.75" customHeight="1">
      <c r="A71" s="16">
        <v>27</v>
      </c>
      <c r="B71" s="16">
        <v>56.7</v>
      </c>
      <c r="C71" s="16">
        <v>56.7</v>
      </c>
      <c r="D71" s="6"/>
      <c r="E71" s="6"/>
      <c r="F71" s="6"/>
      <c r="G71" s="6"/>
      <c r="H71" s="6"/>
    </row>
    <row r="72" spans="1:8" ht="15.75" customHeight="1">
      <c r="A72" s="16">
        <v>30</v>
      </c>
      <c r="B72" s="16">
        <v>65.8</v>
      </c>
      <c r="C72" s="16">
        <v>65.8</v>
      </c>
      <c r="D72" s="18" t="s">
        <v>11</v>
      </c>
      <c r="E72" s="6"/>
      <c r="F72" s="6"/>
      <c r="G72" s="6"/>
      <c r="H72" s="6"/>
    </row>
    <row r="73" spans="1:8" ht="15.75" customHeight="1">
      <c r="A73" s="16">
        <v>33</v>
      </c>
      <c r="B73" s="16">
        <v>73.3</v>
      </c>
      <c r="C73" s="16">
        <v>73.3</v>
      </c>
      <c r="D73" s="6"/>
      <c r="E73" s="6"/>
      <c r="F73" s="6"/>
      <c r="G73" s="6"/>
      <c r="H73" s="6"/>
    </row>
    <row r="74" spans="1:8" ht="15.75" customHeight="1">
      <c r="A74" s="16">
        <v>36</v>
      </c>
      <c r="B74" s="16">
        <v>77.099999999999994</v>
      </c>
      <c r="C74" s="16">
        <v>77.099999999999994</v>
      </c>
      <c r="D74" s="6"/>
      <c r="E74" s="6"/>
      <c r="F74" s="6"/>
      <c r="G74" s="6"/>
      <c r="H74" s="6"/>
    </row>
    <row r="75" spans="1:8" ht="15.75" customHeight="1">
      <c r="A75" s="16">
        <v>39</v>
      </c>
      <c r="B75" s="16">
        <v>78.599999999999994</v>
      </c>
      <c r="C75" s="16">
        <v>78.599999999999994</v>
      </c>
      <c r="D75" s="6"/>
      <c r="E75" s="6"/>
      <c r="F75" s="6"/>
      <c r="G75" s="6"/>
      <c r="H75" s="6"/>
    </row>
    <row r="76" spans="1:8" ht="15.75" customHeight="1">
      <c r="A76" s="16">
        <v>42</v>
      </c>
      <c r="B76" s="16">
        <v>79.5</v>
      </c>
      <c r="C76" s="16">
        <v>79.5</v>
      </c>
      <c r="D76" s="6"/>
      <c r="E76" s="6"/>
      <c r="F76" s="6"/>
      <c r="G76" s="6"/>
      <c r="H76" s="6"/>
    </row>
    <row r="77" spans="1:8" ht="15.75" customHeight="1">
      <c r="A77" s="16">
        <v>45</v>
      </c>
      <c r="B77" s="16">
        <v>80.3</v>
      </c>
      <c r="C77" s="16">
        <v>80.3</v>
      </c>
      <c r="D77" s="6"/>
      <c r="E77" s="6"/>
      <c r="F77" s="6"/>
      <c r="G77" s="6"/>
      <c r="H77" s="6"/>
    </row>
    <row r="78" spans="1:8" ht="15.75" customHeight="1">
      <c r="A78" s="16">
        <v>48</v>
      </c>
      <c r="B78" s="16">
        <v>81</v>
      </c>
      <c r="C78" s="16">
        <v>81</v>
      </c>
      <c r="D78" s="6"/>
      <c r="E78" s="6"/>
      <c r="F78" s="6"/>
      <c r="G78" s="6"/>
      <c r="H78" s="6"/>
    </row>
    <row r="79" spans="1:8" ht="15.75" customHeight="1">
      <c r="A79" s="16">
        <v>51</v>
      </c>
      <c r="B79" s="16">
        <v>81.599999999999994</v>
      </c>
      <c r="C79" s="16">
        <v>81.599999999999994</v>
      </c>
      <c r="D79" s="6"/>
      <c r="E79" s="6"/>
      <c r="F79" s="6"/>
      <c r="G79" s="6"/>
      <c r="H79" s="6"/>
    </row>
    <row r="80" spans="1:8" ht="15.75" customHeight="1">
      <c r="A80" s="16">
        <v>54</v>
      </c>
      <c r="B80" s="16">
        <v>82.1</v>
      </c>
      <c r="C80" s="16">
        <v>82.1</v>
      </c>
      <c r="D80" s="6"/>
      <c r="E80" s="6"/>
      <c r="F80" s="6"/>
      <c r="G80" s="6"/>
      <c r="H80" s="6"/>
    </row>
    <row r="81" spans="1:8" ht="15.75" customHeight="1">
      <c r="A81" s="16">
        <v>57</v>
      </c>
      <c r="B81" s="16">
        <v>82.4</v>
      </c>
      <c r="C81" s="16">
        <v>82.4</v>
      </c>
      <c r="D81" s="6"/>
      <c r="E81" s="6"/>
      <c r="F81" s="6"/>
      <c r="G81" s="6"/>
      <c r="H81" s="6"/>
    </row>
    <row r="82" spans="1:8" ht="15.75" customHeight="1">
      <c r="A82" s="16">
        <v>60</v>
      </c>
      <c r="B82" s="16">
        <v>82.7</v>
      </c>
      <c r="C82" s="16">
        <v>82.7</v>
      </c>
      <c r="D82" s="17"/>
      <c r="E82" s="8"/>
      <c r="F82" s="17"/>
      <c r="G82" s="6"/>
      <c r="H82" s="6"/>
    </row>
    <row r="83" spans="1:8" ht="15.75" customHeight="1">
      <c r="A83" s="16">
        <v>63</v>
      </c>
      <c r="B83" s="16">
        <v>83</v>
      </c>
      <c r="C83" s="16">
        <v>83</v>
      </c>
      <c r="D83" s="19"/>
      <c r="E83" s="20"/>
      <c r="F83" s="19"/>
      <c r="G83" s="6"/>
      <c r="H83" s="6"/>
    </row>
    <row r="84" spans="1:8" ht="15.75" customHeight="1">
      <c r="A84" s="16">
        <v>66</v>
      </c>
      <c r="B84" s="16">
        <v>83.2</v>
      </c>
      <c r="C84" s="16">
        <v>83.2</v>
      </c>
      <c r="D84" s="6"/>
      <c r="E84" s="19"/>
      <c r="F84" s="6"/>
      <c r="G84" s="6"/>
      <c r="H84" s="6"/>
    </row>
    <row r="85" spans="1:8" ht="15.75" customHeight="1">
      <c r="A85" s="16">
        <v>69</v>
      </c>
      <c r="B85" s="16">
        <v>83.4</v>
      </c>
      <c r="C85" s="16">
        <v>83.4</v>
      </c>
      <c r="D85" s="6"/>
      <c r="E85" s="6"/>
      <c r="F85" s="6"/>
      <c r="G85" s="6"/>
      <c r="H85" s="6"/>
    </row>
    <row r="86" spans="1:8" ht="15.75" customHeight="1">
      <c r="A86" s="16">
        <v>72</v>
      </c>
      <c r="B86" s="16">
        <v>83.6</v>
      </c>
      <c r="C86" s="16">
        <v>83.6</v>
      </c>
      <c r="D86" s="6"/>
      <c r="E86" s="6"/>
      <c r="F86" s="6"/>
      <c r="G86" s="6"/>
      <c r="H86" s="6"/>
    </row>
    <row r="87" spans="1:8" ht="15.75" customHeight="1">
      <c r="A87" s="16">
        <v>75</v>
      </c>
      <c r="B87" s="16">
        <v>83.8</v>
      </c>
      <c r="C87" s="16">
        <v>83.8</v>
      </c>
      <c r="D87" s="6"/>
      <c r="E87" s="6"/>
      <c r="F87" s="6"/>
      <c r="G87" s="6"/>
      <c r="H87" s="6"/>
    </row>
    <row r="88" spans="1:8" ht="15.75" customHeight="1">
      <c r="A88" s="16">
        <v>78</v>
      </c>
      <c r="B88" s="16">
        <v>84</v>
      </c>
      <c r="C88" s="16">
        <v>84</v>
      </c>
      <c r="D88" s="6"/>
      <c r="E88" s="6"/>
      <c r="F88" s="6"/>
      <c r="G88" s="6"/>
      <c r="H88" s="6"/>
    </row>
    <row r="89" spans="1:8" ht="15.75" customHeight="1">
      <c r="A89" s="16">
        <v>81</v>
      </c>
      <c r="B89" s="16">
        <v>84.2</v>
      </c>
      <c r="C89" s="16">
        <v>84.2</v>
      </c>
      <c r="D89" s="6"/>
      <c r="E89" s="6"/>
      <c r="F89" s="6"/>
      <c r="G89" s="6"/>
      <c r="H89" s="6"/>
    </row>
    <row r="90" spans="1:8" ht="15.75" customHeight="1">
      <c r="A90" s="16">
        <v>84</v>
      </c>
      <c r="B90" s="16">
        <v>84.3</v>
      </c>
      <c r="C90" s="16">
        <v>84.3</v>
      </c>
      <c r="D90" s="6"/>
      <c r="E90" s="6"/>
      <c r="F90" s="6"/>
      <c r="G90" s="6"/>
      <c r="H90" s="6"/>
    </row>
    <row r="91" spans="1:8" ht="15.75" customHeight="1">
      <c r="A91" s="16">
        <v>87</v>
      </c>
      <c r="B91" s="16">
        <v>84.5</v>
      </c>
      <c r="C91" s="16">
        <v>84.5</v>
      </c>
      <c r="D91" s="6"/>
      <c r="E91" s="6"/>
      <c r="F91" s="6"/>
      <c r="G91" s="6"/>
      <c r="H91" s="6"/>
    </row>
    <row r="92" spans="1:8" ht="15.75" customHeight="1">
      <c r="A92" s="16">
        <v>90</v>
      </c>
      <c r="B92" s="16">
        <v>84.7</v>
      </c>
      <c r="C92" s="16">
        <v>84.7</v>
      </c>
      <c r="D92" s="6"/>
      <c r="E92" s="6"/>
      <c r="F92" s="6"/>
      <c r="G92" s="6"/>
      <c r="H92" s="6"/>
    </row>
    <row r="93" spans="1:8" ht="15.75" customHeight="1">
      <c r="A93" s="16">
        <v>93</v>
      </c>
      <c r="B93" s="16">
        <v>84.8</v>
      </c>
      <c r="C93" s="16">
        <v>84.8</v>
      </c>
      <c r="D93" s="6"/>
      <c r="E93" s="6"/>
      <c r="F93" s="6"/>
      <c r="G93" s="6"/>
      <c r="H93" s="6"/>
    </row>
    <row r="94" spans="1:8" ht="15.75" customHeight="1">
      <c r="A94" s="16">
        <v>96</v>
      </c>
      <c r="B94" s="16">
        <v>85</v>
      </c>
      <c r="C94" s="16">
        <v>85</v>
      </c>
      <c r="D94" s="6"/>
      <c r="E94" s="6"/>
      <c r="F94" s="6"/>
      <c r="G94" s="6"/>
      <c r="H94" s="6"/>
    </row>
    <row r="95" spans="1:8" ht="15.75" customHeight="1">
      <c r="A95" s="16">
        <v>99</v>
      </c>
      <c r="B95" s="16">
        <v>85.1</v>
      </c>
      <c r="C95" s="16">
        <v>85.1</v>
      </c>
      <c r="D95" s="6"/>
      <c r="E95" s="6"/>
      <c r="F95" s="6"/>
      <c r="G95" s="6"/>
      <c r="H95" s="6"/>
    </row>
    <row r="96" spans="1:8" ht="15.75" customHeight="1">
      <c r="A96" s="16">
        <v>102</v>
      </c>
      <c r="B96" s="16">
        <v>85.2</v>
      </c>
      <c r="C96" s="16">
        <v>85.2</v>
      </c>
      <c r="D96" s="6"/>
      <c r="E96" s="6"/>
      <c r="F96" s="6"/>
      <c r="G96" s="6"/>
      <c r="H96" s="6"/>
    </row>
    <row r="97" spans="1:8" ht="15.75" customHeight="1">
      <c r="A97" s="16">
        <v>105</v>
      </c>
      <c r="B97" s="16">
        <v>85.3</v>
      </c>
      <c r="C97" s="16">
        <v>85.3</v>
      </c>
      <c r="D97" s="6"/>
      <c r="E97" s="6"/>
      <c r="F97" s="6"/>
      <c r="G97" s="6"/>
      <c r="H97" s="6"/>
    </row>
    <row r="98" spans="1:8" ht="15.75" customHeight="1">
      <c r="A98" s="16">
        <v>108</v>
      </c>
      <c r="B98" s="16">
        <v>85.4</v>
      </c>
      <c r="C98" s="16">
        <v>85.4</v>
      </c>
      <c r="D98" s="6"/>
      <c r="E98" s="6"/>
      <c r="F98" s="6"/>
      <c r="G98" s="6"/>
      <c r="H98" s="6"/>
    </row>
    <row r="99" spans="1:8" ht="15.75" customHeight="1">
      <c r="A99" s="16">
        <v>111</v>
      </c>
      <c r="B99" s="16">
        <v>85.5</v>
      </c>
      <c r="C99" s="16">
        <v>85.5</v>
      </c>
      <c r="D99" s="6"/>
      <c r="E99" s="6"/>
      <c r="F99" s="6"/>
      <c r="G99" s="6"/>
      <c r="H99" s="6"/>
    </row>
    <row r="100" spans="1:8" ht="15.75" customHeight="1">
      <c r="A100" s="16">
        <v>114</v>
      </c>
      <c r="B100" s="16">
        <v>85.6</v>
      </c>
      <c r="C100" s="16">
        <v>85.6</v>
      </c>
      <c r="D100" s="6"/>
      <c r="E100" s="6"/>
      <c r="F100" s="6"/>
      <c r="G100" s="6"/>
      <c r="H100" s="6"/>
    </row>
    <row r="101" spans="1:8" ht="15.75" customHeight="1">
      <c r="A101" s="16">
        <v>117</v>
      </c>
      <c r="B101" s="16">
        <v>85.7</v>
      </c>
      <c r="C101" s="16">
        <v>85.7</v>
      </c>
      <c r="D101" s="6"/>
      <c r="E101" s="6"/>
      <c r="F101" s="6"/>
      <c r="G101" s="6"/>
      <c r="H101" s="6"/>
    </row>
    <row r="102" spans="1:8" ht="15.75" customHeight="1">
      <c r="A102" s="16">
        <v>120</v>
      </c>
      <c r="B102" s="16">
        <v>85.8</v>
      </c>
      <c r="C102" s="16">
        <v>85.8</v>
      </c>
      <c r="D102" s="6"/>
      <c r="E102" s="6"/>
      <c r="F102" s="6"/>
      <c r="G102" s="6"/>
      <c r="H102" s="6"/>
    </row>
    <row r="103" spans="1:8" ht="15.75" customHeight="1">
      <c r="A103" s="16">
        <v>123</v>
      </c>
      <c r="B103" s="16">
        <v>85.9</v>
      </c>
      <c r="C103" s="16">
        <v>85.9</v>
      </c>
      <c r="D103" s="6"/>
      <c r="E103" s="6"/>
      <c r="F103" s="6"/>
      <c r="G103" s="6"/>
      <c r="H103" s="6"/>
    </row>
    <row r="104" spans="1:8" ht="15.75" customHeight="1">
      <c r="A104" s="16">
        <v>126</v>
      </c>
      <c r="B104" s="16">
        <v>85.91</v>
      </c>
      <c r="C104" s="16">
        <v>85.91</v>
      </c>
      <c r="D104" s="6"/>
      <c r="E104" s="6"/>
      <c r="F104" s="6"/>
      <c r="G104" s="6"/>
      <c r="H104" s="6"/>
    </row>
    <row r="105" spans="1:8" ht="15.75" customHeight="1">
      <c r="A105" s="16">
        <v>129</v>
      </c>
      <c r="B105" s="16">
        <v>86</v>
      </c>
      <c r="C105" s="16">
        <v>86</v>
      </c>
      <c r="D105" s="6"/>
      <c r="E105" s="6"/>
      <c r="F105" s="6"/>
      <c r="G105" s="6"/>
      <c r="H105" s="6"/>
    </row>
    <row r="106" spans="1:8" ht="15.75" customHeight="1">
      <c r="A106" s="16">
        <v>132</v>
      </c>
      <c r="B106" s="16">
        <v>86.1</v>
      </c>
      <c r="C106" s="16">
        <v>86.1</v>
      </c>
      <c r="D106" s="6"/>
      <c r="E106" s="6"/>
      <c r="F106" s="6"/>
      <c r="G106" s="6"/>
      <c r="H106" s="6"/>
    </row>
    <row r="107" spans="1:8" ht="15.75" customHeight="1">
      <c r="A107" s="16">
        <v>135</v>
      </c>
      <c r="B107" s="16">
        <v>86.2</v>
      </c>
      <c r="C107" s="16">
        <v>86.2</v>
      </c>
      <c r="D107" s="6"/>
      <c r="E107" s="6"/>
      <c r="F107" s="6"/>
      <c r="G107" s="6"/>
      <c r="H107" s="6"/>
    </row>
    <row r="108" spans="1:8" ht="15.75" customHeight="1">
      <c r="A108" s="16">
        <v>138</v>
      </c>
      <c r="B108" s="16">
        <v>86.3</v>
      </c>
      <c r="C108" s="16">
        <v>86.3</v>
      </c>
      <c r="D108" s="6"/>
      <c r="E108" s="6"/>
      <c r="F108" s="6"/>
      <c r="G108" s="6"/>
      <c r="H108" s="6"/>
    </row>
    <row r="109" spans="1:8" ht="15.75" customHeight="1">
      <c r="A109" s="16">
        <v>141</v>
      </c>
      <c r="B109" s="16">
        <v>86.4</v>
      </c>
      <c r="C109" s="16">
        <v>86.4</v>
      </c>
      <c r="D109" s="6"/>
      <c r="E109" s="6"/>
      <c r="F109" s="6"/>
      <c r="G109" s="6"/>
      <c r="H109" s="6"/>
    </row>
    <row r="110" spans="1:8" ht="15.75" customHeight="1">
      <c r="A110" s="16">
        <v>144</v>
      </c>
      <c r="B110" s="16">
        <v>86.5</v>
      </c>
      <c r="C110" s="16">
        <v>86.5</v>
      </c>
      <c r="D110" s="6"/>
      <c r="E110" s="6"/>
      <c r="F110" s="6"/>
      <c r="G110" s="6"/>
      <c r="H110" s="6"/>
    </row>
    <row r="111" spans="1:8" ht="15.75" customHeight="1">
      <c r="A111" s="16">
        <v>147</v>
      </c>
      <c r="B111" s="16">
        <v>86.6</v>
      </c>
      <c r="C111" s="16">
        <v>86.6</v>
      </c>
      <c r="D111" s="6"/>
      <c r="E111" s="6"/>
      <c r="F111" s="6"/>
      <c r="G111" s="6"/>
      <c r="H111" s="6"/>
    </row>
    <row r="112" spans="1:8" ht="15.75" customHeight="1">
      <c r="A112" s="16">
        <v>150</v>
      </c>
      <c r="B112" s="16">
        <v>86.61</v>
      </c>
      <c r="C112" s="16">
        <v>86.61</v>
      </c>
      <c r="D112" s="6"/>
      <c r="E112" s="6"/>
      <c r="F112" s="6"/>
      <c r="G112" s="6"/>
      <c r="H112" s="6"/>
    </row>
    <row r="113" spans="1:8" ht="15.75" customHeight="1">
      <c r="A113" s="16">
        <v>153</v>
      </c>
      <c r="B113" s="16">
        <v>86.7</v>
      </c>
      <c r="C113" s="16">
        <v>86.7</v>
      </c>
      <c r="D113" s="6"/>
      <c r="E113" s="6"/>
      <c r="F113" s="6"/>
      <c r="G113" s="6"/>
      <c r="H113" s="6"/>
    </row>
    <row r="114" spans="1:8" ht="15.75" customHeight="1">
      <c r="A114" s="16">
        <v>156</v>
      </c>
      <c r="B114" s="16">
        <v>86.71</v>
      </c>
      <c r="C114" s="16">
        <v>86.71</v>
      </c>
      <c r="D114" s="6"/>
      <c r="E114" s="6"/>
      <c r="F114" s="6"/>
      <c r="G114" s="6"/>
      <c r="H114" s="6"/>
    </row>
    <row r="115" spans="1:8" ht="15.75" customHeight="1">
      <c r="A115" s="16">
        <v>159</v>
      </c>
      <c r="B115" s="16">
        <v>86.8</v>
      </c>
      <c r="C115" s="16">
        <v>86.8</v>
      </c>
      <c r="D115" s="6"/>
      <c r="E115" s="6"/>
      <c r="F115" s="6"/>
      <c r="G115" s="6"/>
      <c r="H115" s="6"/>
    </row>
    <row r="116" spans="1:8" ht="15.75" customHeight="1">
      <c r="A116" s="16">
        <v>162</v>
      </c>
      <c r="B116" s="16">
        <v>86.9</v>
      </c>
      <c r="C116" s="16">
        <v>86.9</v>
      </c>
      <c r="D116" s="6"/>
      <c r="E116" s="6"/>
      <c r="F116" s="6"/>
      <c r="G116" s="6"/>
      <c r="H116" s="6"/>
    </row>
    <row r="117" spans="1:8" ht="15.75" customHeight="1">
      <c r="A117" s="16">
        <v>165</v>
      </c>
      <c r="B117" s="16">
        <v>87</v>
      </c>
      <c r="C117" s="16">
        <v>87</v>
      </c>
      <c r="D117" s="6"/>
      <c r="E117" s="6"/>
      <c r="F117" s="6"/>
      <c r="G117" s="6"/>
      <c r="H117" s="6"/>
    </row>
    <row r="118" spans="1:8" ht="15.75" customHeight="1">
      <c r="A118" s="16">
        <v>168</v>
      </c>
      <c r="B118" s="16">
        <v>87.1</v>
      </c>
      <c r="C118" s="16">
        <v>87.1</v>
      </c>
      <c r="D118" s="6"/>
      <c r="E118" s="6"/>
      <c r="F118" s="6"/>
      <c r="G118" s="6"/>
      <c r="H118" s="6"/>
    </row>
    <row r="119" spans="1:8" ht="15.75" customHeight="1">
      <c r="A119" s="16">
        <v>171</v>
      </c>
      <c r="B119" s="16">
        <v>87.11</v>
      </c>
      <c r="C119" s="16">
        <v>87.11</v>
      </c>
      <c r="D119" s="6"/>
      <c r="E119" s="6"/>
      <c r="F119" s="6"/>
      <c r="G119" s="6"/>
      <c r="H119" s="6"/>
    </row>
    <row r="120" spans="1:8" ht="15.75" customHeight="1">
      <c r="A120" s="16">
        <v>174</v>
      </c>
      <c r="B120" s="16">
        <v>87.12</v>
      </c>
      <c r="C120" s="16">
        <v>87.12</v>
      </c>
      <c r="D120" s="6"/>
      <c r="E120" s="6"/>
      <c r="F120" s="6"/>
      <c r="G120" s="6"/>
      <c r="H120" s="6"/>
    </row>
    <row r="121" spans="1:8" ht="15.75" customHeight="1">
      <c r="A121" s="16">
        <v>177</v>
      </c>
      <c r="B121" s="16">
        <v>87.2</v>
      </c>
      <c r="C121" s="16">
        <v>87.2</v>
      </c>
      <c r="D121" s="6"/>
      <c r="E121" s="6"/>
      <c r="F121" s="6"/>
      <c r="G121" s="6"/>
      <c r="H121" s="6"/>
    </row>
    <row r="122" spans="1:8" ht="15.75" customHeight="1">
      <c r="A122" s="16">
        <v>180</v>
      </c>
      <c r="B122" s="16">
        <v>87.21</v>
      </c>
      <c r="C122" s="16">
        <v>87.21</v>
      </c>
      <c r="D122" s="6"/>
      <c r="E122" s="6"/>
      <c r="F122" s="6"/>
      <c r="G122" s="6"/>
      <c r="H122" s="6"/>
    </row>
    <row r="123" spans="1:8" ht="15.75" customHeight="1">
      <c r="A123" s="16">
        <v>183</v>
      </c>
      <c r="B123" s="16">
        <v>87.2</v>
      </c>
      <c r="C123" s="16">
        <v>87.2</v>
      </c>
      <c r="D123" s="6"/>
      <c r="E123" s="6"/>
      <c r="F123" s="6"/>
      <c r="G123" s="6"/>
      <c r="H123" s="6"/>
    </row>
    <row r="124" spans="1:8" ht="15.75" customHeight="1">
      <c r="A124" s="16">
        <v>186</v>
      </c>
      <c r="B124" s="16">
        <v>87.3</v>
      </c>
      <c r="C124" s="16">
        <v>87.3</v>
      </c>
      <c r="D124" s="6"/>
      <c r="E124" s="6"/>
      <c r="F124" s="6"/>
      <c r="G124" s="6"/>
      <c r="H124" s="6"/>
    </row>
    <row r="125" spans="1:8" ht="15.75" customHeight="1">
      <c r="A125" s="16">
        <v>189</v>
      </c>
      <c r="B125" s="16">
        <v>87.31</v>
      </c>
      <c r="C125" s="16">
        <v>87.31</v>
      </c>
      <c r="D125" s="6"/>
      <c r="E125" s="6"/>
      <c r="F125" s="6"/>
      <c r="G125" s="6"/>
      <c r="H125" s="6"/>
    </row>
    <row r="126" spans="1:8" ht="15.75" customHeight="1">
      <c r="A126" s="16">
        <v>192</v>
      </c>
      <c r="B126" s="16">
        <v>87.4</v>
      </c>
      <c r="C126" s="16">
        <v>87.4</v>
      </c>
      <c r="D126" s="6"/>
      <c r="E126" s="6"/>
      <c r="F126" s="6"/>
      <c r="G126" s="6"/>
      <c r="H126" s="6"/>
    </row>
    <row r="127" spans="1:8" ht="15.75" customHeight="1">
      <c r="A127" s="16">
        <v>195</v>
      </c>
      <c r="B127" s="16">
        <v>87.41</v>
      </c>
      <c r="C127" s="16">
        <v>87.41</v>
      </c>
      <c r="D127" s="6"/>
      <c r="E127" s="6"/>
      <c r="F127" s="6"/>
      <c r="G127" s="6"/>
      <c r="H127" s="6"/>
    </row>
    <row r="128" spans="1:8" ht="15.75" customHeight="1">
      <c r="A128" s="16">
        <v>198</v>
      </c>
      <c r="B128" s="16">
        <v>87.4</v>
      </c>
      <c r="C128" s="16">
        <v>87.4</v>
      </c>
      <c r="D128" s="6"/>
      <c r="E128" s="6"/>
      <c r="F128" s="6"/>
      <c r="G128" s="6"/>
      <c r="H128" s="6"/>
    </row>
    <row r="129" spans="1:8" ht="15.75" customHeight="1">
      <c r="A129" s="16">
        <v>201</v>
      </c>
      <c r="B129" s="16">
        <v>87.5</v>
      </c>
      <c r="C129" s="16">
        <v>87.5</v>
      </c>
      <c r="D129" s="6"/>
      <c r="E129" s="6"/>
      <c r="F129" s="6"/>
      <c r="G129" s="6"/>
      <c r="H129" s="6"/>
    </row>
    <row r="130" spans="1:8" ht="15.75" customHeight="1"/>
    <row r="131" spans="1:8" ht="15.75" customHeight="1"/>
    <row r="132" spans="1:8" ht="15.75" customHeight="1"/>
    <row r="133" spans="1:8" ht="15.75" customHeight="1"/>
    <row r="134" spans="1:8" ht="15.75" customHeight="1"/>
    <row r="135" spans="1:8" ht="15.75" customHeight="1"/>
    <row r="136" spans="1:8" ht="15.75" customHeight="1"/>
    <row r="137" spans="1:8" ht="15.75" customHeight="1"/>
    <row r="138" spans="1:8" ht="15.75" customHeight="1"/>
    <row r="139" spans="1:8" ht="15.75" customHeight="1"/>
    <row r="140" spans="1:8" ht="15.75" customHeight="1"/>
    <row r="141" spans="1:8" ht="15.75" customHeight="1"/>
    <row r="142" spans="1:8" ht="15.75" customHeight="1"/>
    <row r="143" spans="1:8" ht="15.75" customHeight="1"/>
    <row r="144" spans="1: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sheetProtection algorithmName="SHA-512" hashValue="qypY8grxh/7auiZA5lpNx30PqdqUK26RnbWQ/2v759ypnzIFHvbRTFxk08tmpDKuoude/06V4l99hz2RkI7hSQ==" saltValue="7KUnVTRBSMHE7nK7/PgIRg==" spinCount="100000" sheet="1" objects="1" scenarios="1"/>
  <mergeCells count="12">
    <mergeCell ref="U4:V5"/>
    <mergeCell ref="W4:W5"/>
    <mergeCell ref="A7:C7"/>
    <mergeCell ref="A34:C34"/>
    <mergeCell ref="M4:N5"/>
    <mergeCell ref="O4:P5"/>
    <mergeCell ref="Q4:R5"/>
    <mergeCell ref="A61:C61"/>
    <mergeCell ref="A2:C4"/>
    <mergeCell ref="I4:J5"/>
    <mergeCell ref="K4:L5"/>
    <mergeCell ref="S4:T5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V999"/>
  <sheetViews>
    <sheetView showGridLines="0" zoomScale="70" zoomScaleNormal="70" workbookViewId="0">
      <selection activeCell="A38" sqref="A38:XFD38"/>
    </sheetView>
  </sheetViews>
  <sheetFormatPr baseColWidth="10" defaultColWidth="14.5" defaultRowHeight="15" customHeight="1"/>
  <cols>
    <col min="1" max="4" width="11.5" customWidth="1"/>
    <col min="5" max="5" width="11.83203125" customWidth="1"/>
    <col min="6" max="7" width="12.5" customWidth="1"/>
    <col min="8" max="8" width="9.6640625" customWidth="1"/>
    <col min="9" max="9" width="13.5" customWidth="1"/>
    <col min="10" max="10" width="13.33203125" customWidth="1"/>
    <col min="11" max="12" width="11.5" customWidth="1"/>
    <col min="13" max="13" width="14.1640625" customWidth="1"/>
    <col min="14" max="14" width="12.5" customWidth="1"/>
    <col min="15" max="16" width="11.5" customWidth="1"/>
    <col min="17" max="17" width="13.5" customWidth="1"/>
    <col min="18" max="18" width="12.33203125" customWidth="1"/>
    <col min="19" max="20" width="11.5" customWidth="1"/>
    <col min="21" max="21" width="12.5" customWidth="1"/>
    <col min="22" max="22" width="13.83203125" customWidth="1"/>
    <col min="23" max="26" width="11.5" customWidth="1"/>
  </cols>
  <sheetData>
    <row r="2" spans="1:22">
      <c r="B2" s="191" t="s">
        <v>12</v>
      </c>
      <c r="C2" s="192"/>
      <c r="D2" s="192"/>
      <c r="E2" s="192"/>
      <c r="F2" s="192"/>
      <c r="G2" s="192"/>
      <c r="H2" s="192"/>
      <c r="I2" s="193"/>
    </row>
    <row r="3" spans="1:22">
      <c r="B3" s="194"/>
      <c r="C3" s="185"/>
      <c r="D3" s="185"/>
      <c r="E3" s="185"/>
      <c r="F3" s="185"/>
      <c r="G3" s="185"/>
      <c r="H3" s="185"/>
      <c r="I3" s="195"/>
    </row>
    <row r="4" spans="1:22">
      <c r="B4" s="196"/>
      <c r="C4" s="197"/>
      <c r="D4" s="197"/>
      <c r="E4" s="197"/>
      <c r="F4" s="197"/>
      <c r="G4" s="197"/>
      <c r="H4" s="197"/>
      <c r="I4" s="198"/>
    </row>
    <row r="6" spans="1:22" ht="18">
      <c r="A6" s="25"/>
      <c r="B6" s="182" t="s">
        <v>13</v>
      </c>
      <c r="C6" s="183"/>
      <c r="D6" s="25"/>
      <c r="E6" s="182" t="s">
        <v>14</v>
      </c>
      <c r="F6" s="183"/>
      <c r="G6" s="25"/>
      <c r="H6" s="182" t="s">
        <v>15</v>
      </c>
      <c r="I6" s="183"/>
      <c r="L6" s="184"/>
      <c r="M6" s="185"/>
      <c r="N6" s="185"/>
      <c r="P6" s="184"/>
      <c r="Q6" s="185"/>
      <c r="R6" s="185"/>
      <c r="T6" s="184"/>
      <c r="U6" s="185"/>
      <c r="V6" s="185"/>
    </row>
    <row r="7" spans="1:22" ht="18">
      <c r="A7" s="25"/>
      <c r="B7" s="26" t="s">
        <v>16</v>
      </c>
      <c r="C7" s="27" t="s">
        <v>17</v>
      </c>
      <c r="D7" s="25"/>
      <c r="E7" s="26" t="s">
        <v>16</v>
      </c>
      <c r="F7" s="27" t="s">
        <v>18</v>
      </c>
      <c r="G7" s="25"/>
      <c r="H7" s="26" t="s">
        <v>16</v>
      </c>
      <c r="I7" s="27" t="s">
        <v>19</v>
      </c>
    </row>
    <row r="8" spans="1:22" ht="18">
      <c r="B8" s="16">
        <f>'Datos medidos'!A9*'Datos de muestra y medidos'!$C$21/'Datos de muestra y medidos'!$C$17</f>
        <v>0.23534949399858818</v>
      </c>
      <c r="C8" s="16">
        <f>('Datos de muestra y medidos'!$C$31*'Datos de muestra y medidos'!$C$21*'Datos de muestra y medidos'!$C$11*'Datos de muestra y medidos'!$C$19)/('Datos de muestra y medidos'!$C$13*'Datos medidos'!C9)</f>
        <v>2083.3193316101529</v>
      </c>
      <c r="E8" s="16">
        <f>'Datos medidos'!A36*'Datos de muestra y medidos'!$C$22/'Datos de muestra y medidos'!$C$17</f>
        <v>0.23534949399858818</v>
      </c>
      <c r="F8" s="16">
        <f>('Datos de muestra y medidos'!$C$31*'Datos de muestra y medidos'!$C$22*'Datos de muestra y medidos'!$C$11*'Datos de muestra y medidos'!$C$20)/('Datos de muestra y medidos'!$C$13*'Datos medidos'!C36)</f>
        <v>549.99630354508031</v>
      </c>
      <c r="H8" s="16">
        <f>'Datos medidos'!A62*'Datos de muestra y medidos'!$C$23/'Datos de muestra y medidos'!$C$17</f>
        <v>0</v>
      </c>
      <c r="I8" s="16">
        <f>('Datos de muestra y medidos'!$C$31*'Datos de muestra y medidos'!$C$23*'Datos de muestra y medidos'!$C$11*'Datos de muestra y medidos'!$C$19)/('Datos de muestra y medidos'!$C$13*'Datos medidos'!C62)</f>
        <v>5.0402887055084351</v>
      </c>
    </row>
    <row r="9" spans="1:22" ht="18">
      <c r="B9" s="16">
        <f>'Datos medidos'!A10*'Datos de muestra y medidos'!$C$21/'Datos de muestra y medidos'!$C$17</f>
        <v>0.47069898799717635</v>
      </c>
      <c r="C9" s="16">
        <f>('Datos de muestra y medidos'!$C$31*'Datos de muestra y medidos'!$C$21*'Datos de muestra y medidos'!$C$11*'Datos de muestra y medidos'!$C$19)/('Datos de muestra y medidos'!$C$13*'Datos medidos'!C10)</f>
        <v>124.99915989660917</v>
      </c>
      <c r="E9" s="16">
        <f>'Datos medidos'!A37*'Datos de muestra y medidos'!$C$22/'Datos de muestra y medidos'!$C$17</f>
        <v>0.47069898799717635</v>
      </c>
      <c r="F9" s="16">
        <f>('Datos de muestra y medidos'!$C$31*'Datos de muestra y medidos'!$C$22*'Datos de muestra y medidos'!$C$11*'Datos de muestra y medidos'!$C$20)/('Datos de muestra y medidos'!$C$13*'Datos medidos'!C37)</f>
        <v>263.40819135300785</v>
      </c>
      <c r="H9" s="16">
        <f>'Datos medidos'!A63*'Datos de muestra y medidos'!$C$23/'Datos de muestra y medidos'!$C$17</f>
        <v>0.23534949399858818</v>
      </c>
      <c r="I9" s="16">
        <f>('Datos de muestra y medidos'!$C$31*'Datos de muestra y medidos'!$C$23*'Datos de muestra y medidos'!$C$11*'Datos de muestra y medidos'!$C$19)/('Datos de muestra y medidos'!$C$13*'Datos medidos'!C63)</f>
        <v>6.7934326030765861</v>
      </c>
    </row>
    <row r="10" spans="1:22" ht="18">
      <c r="B10" s="16">
        <f>'Datos medidos'!A11*'Datos de muestra y medidos'!$C$21/'Datos de muestra y medidos'!$C$17</f>
        <v>0.70604848199576453</v>
      </c>
      <c r="C10" s="16">
        <f>('Datos de muestra y medidos'!$C$31*'Datos de muestra y medidos'!$C$21*'Datos de muestra y medidos'!$C$11*'Datos de muestra y medidos'!$C$19)/('Datos de muestra y medidos'!$C$13*'Datos medidos'!C11)</f>
        <v>60.97519994956545</v>
      </c>
      <c r="E10" s="16">
        <f>'Datos medidos'!A38*'Datos de muestra y medidos'!$C$22/'Datos de muestra y medidos'!$C$17</f>
        <v>0.70604848199576453</v>
      </c>
      <c r="F10" s="16">
        <f>('Datos de muestra y medidos'!$C$31*'Datos de muestra y medidos'!$C$22*'Datos de muestra y medidos'!$C$11*'Datos de muestra y medidos'!$C$20)/('Datos de muestra y medidos'!$C$13*'Datos medidos'!C38)</f>
        <v>153.11701100920945</v>
      </c>
      <c r="H10" s="16">
        <f>'Datos medidos'!A64*'Datos de muestra y medidos'!$C$23/'Datos de muestra y medidos'!$C$17</f>
        <v>0.47069898799717635</v>
      </c>
      <c r="I10" s="16">
        <f>('Datos de muestra y medidos'!$C$31*'Datos de muestra y medidos'!$C$23*'Datos de muestra y medidos'!$C$11*'Datos de muestra y medidos'!$C$19)/('Datos de muestra y medidos'!$C$13*'Datos medidos'!C64)</f>
        <v>8.5615862942882988</v>
      </c>
    </row>
    <row r="11" spans="1:22" ht="18">
      <c r="B11" s="16">
        <f>'Datos medidos'!A12*'Datos de muestra y medidos'!$C$21/'Datos de muestra y medidos'!$C$17</f>
        <v>0.94139797599435271</v>
      </c>
      <c r="C11" s="16">
        <f>('Datos de muestra y medidos'!$C$31*'Datos de muestra y medidos'!$C$21*'Datos de muestra y medidos'!$C$11*'Datos de muestra y medidos'!$C$19)/('Datos de muestra y medidos'!$C$13*'Datos medidos'!C12)</f>
        <v>56.053434931214873</v>
      </c>
      <c r="E11" s="16">
        <f>'Datos medidos'!A39*'Datos de muestra y medidos'!$C$22/'Datos de muestra y medidos'!$C$17</f>
        <v>0.94139797599435271</v>
      </c>
      <c r="F11" s="16">
        <f>('Datos de muestra y medidos'!$C$31*'Datos de muestra y medidos'!$C$22*'Datos de muestra y medidos'!$C$11*'Datos de muestra y medidos'!$C$20)/('Datos de muestra y medidos'!$C$13*'Datos medidos'!C39)</f>
        <v>107.92706113521984</v>
      </c>
      <c r="H11" s="16">
        <f>'Datos medidos'!A65*'Datos de muestra y medidos'!$C$23/'Datos de muestra y medidos'!$C$17</f>
        <v>0.70604848199576453</v>
      </c>
      <c r="I11" s="16">
        <f>('Datos de muestra y medidos'!$C$31*'Datos de muestra y medidos'!$C$23*'Datos de muestra y medidos'!$C$11*'Datos de muestra y medidos'!$C$19)/('Datos de muestra y medidos'!$C$13*'Datos medidos'!C65)</f>
        <v>10.869492164922535</v>
      </c>
    </row>
    <row r="12" spans="1:22" ht="18">
      <c r="B12" s="16">
        <f>'Datos medidos'!A13*'Datos de muestra y medidos'!$C$21/'Datos de muestra y medidos'!$C$17</f>
        <v>1.1767474699929408</v>
      </c>
      <c r="C12" s="16">
        <f>('Datos de muestra y medidos'!$C$31*'Datos de muestra y medidos'!$C$21*'Datos de muestra y medidos'!$C$11*'Datos de muestra y medidos'!$C$19)/('Datos de muestra y medidos'!$C$13*'Datos medidos'!C13)</f>
        <v>54.347460824612689</v>
      </c>
      <c r="E12" s="16">
        <f>'Datos medidos'!A40*'Datos de muestra y medidos'!$C$22/'Datos de muestra y medidos'!$C$17</f>
        <v>1.1767474699929408</v>
      </c>
      <c r="F12" s="16">
        <f>('Datos de muestra y medidos'!$C$31*'Datos de muestra y medidos'!$C$22*'Datos de muestra y medidos'!$C$11*'Datos de muestra y medidos'!$C$20)/('Datos de muestra y medidos'!$C$13*'Datos medidos'!C40)</f>
        <v>105.12161765005358</v>
      </c>
      <c r="H12" s="16">
        <f>'Datos medidos'!A66*'Datos de muestra y medidos'!$C$23/'Datos de muestra y medidos'!$C$17</f>
        <v>0.94139797599435271</v>
      </c>
      <c r="I12" s="16">
        <f>('Datos de muestra y medidos'!$C$31*'Datos de muestra y medidos'!$C$23*'Datos de muestra y medidos'!$C$11*'Datos de muestra y medidos'!$C$19)/('Datos de muestra y medidos'!$C$13*'Datos medidos'!C66)</f>
        <v>10.162533324927574</v>
      </c>
    </row>
    <row r="13" spans="1:22" ht="18">
      <c r="B13" s="16">
        <f>'Datos medidos'!A14*'Datos de muestra y medidos'!$C$21/'Datos de muestra y medidos'!$C$17</f>
        <v>1.4120969639915291</v>
      </c>
      <c r="C13" s="16">
        <f>('Datos de muestra y medidos'!$C$31*'Datos de muestra y medidos'!$C$21*'Datos de muestra y medidos'!$C$11*'Datos de muestra y medidos'!$C$19)/('Datos de muestra y medidos'!$C$13*'Datos medidos'!C14)</f>
        <v>50.812666624637878</v>
      </c>
      <c r="E13" s="16">
        <f>'Datos medidos'!A41*'Datos de muestra y medidos'!$C$22/'Datos de muestra y medidos'!$C$17</f>
        <v>1.4120969639915291</v>
      </c>
      <c r="F13" s="16">
        <f>('Datos de muestra y medidos'!$C$31*'Datos de muestra y medidos'!$C$22*'Datos de muestra y medidos'!$C$11*'Datos de muestra y medidos'!$C$20)/('Datos de muestra y medidos'!$C$13*'Datos medidos'!C41)</f>
        <v>108.95330894316172</v>
      </c>
      <c r="H13" s="16">
        <f>'Datos medidos'!A67*'Datos de muestra y medidos'!$C$23/'Datos de muestra y medidos'!$C$17</f>
        <v>1.1767474699929408</v>
      </c>
      <c r="I13" s="16">
        <f>('Datos de muestra y medidos'!$C$31*'Datos de muestra y medidos'!$C$23*'Datos de muestra y medidos'!$C$11*'Datos de muestra y medidos'!$C$19)/('Datos de muestra y medidos'!$C$13*'Datos medidos'!C67)</f>
        <v>5.7603299491524966</v>
      </c>
    </row>
    <row r="14" spans="1:22" ht="18">
      <c r="B14" s="16">
        <f>'Datos medidos'!A15*'Datos de muestra y medidos'!$C$21/'Datos de muestra y medidos'!$C$17</f>
        <v>1.6474464579901171</v>
      </c>
      <c r="C14" s="16">
        <f>('Datos de muestra y medidos'!$C$31*'Datos de muestra y medidos'!$C$21*'Datos de muestra y medidos'!$C$11*'Datos de muestra y medidos'!$C$19)/('Datos de muestra y medidos'!$C$13*'Datos medidos'!C15)</f>
        <v>48.827796834612961</v>
      </c>
      <c r="E14" s="16">
        <f>'Datos medidos'!A42*'Datos de muestra y medidos'!$C$22/'Datos de muestra y medidos'!$C$17</f>
        <v>1.6474464579901171</v>
      </c>
      <c r="F14" s="16">
        <f>('Datos de muestra y medidos'!$C$31*'Datos de muestra y medidos'!$C$22*'Datos de muestra y medidos'!$C$11*'Datos de muestra y medidos'!$C$20)/('Datos de muestra y medidos'!$C$13*'Datos medidos'!C42)</f>
        <v>114.58256323855841</v>
      </c>
      <c r="H14" s="16">
        <f>'Datos medidos'!A68*'Datos de muestra y medidos'!$C$23/'Datos de muestra y medidos'!$C$17</f>
        <v>1.4120969639915291</v>
      </c>
      <c r="I14" s="16">
        <f>('Datos de muestra y medidos'!$C$31*'Datos de muestra y medidos'!$C$23*'Datos de muestra y medidos'!$C$11*'Datos de muestra y medidos'!$C$19)/('Datos de muestra y medidos'!$C$13*'Datos medidos'!C68)</f>
        <v>4.0716338728537194</v>
      </c>
    </row>
    <row r="15" spans="1:22" ht="18">
      <c r="B15" s="16">
        <f>'Datos medidos'!A16*'Datos de muestra y medidos'!$C$21/'Datos de muestra y medidos'!$C$17</f>
        <v>1.8827959519887054</v>
      </c>
      <c r="C15" s="16">
        <f>('Datos de muestra y medidos'!$C$31*'Datos de muestra y medidos'!$C$21*'Datos de muestra y medidos'!$C$11*'Datos de muestra y medidos'!$C$19)/('Datos de muestra y medidos'!$C$13*'Datos medidos'!C16)</f>
        <v>45.787238057365997</v>
      </c>
      <c r="E15" s="16">
        <f>'Datos medidos'!A43*'Datos de muestra y medidos'!$C$22/'Datos de muestra y medidos'!$C$17</f>
        <v>1.8827959519887054</v>
      </c>
      <c r="F15" s="16">
        <f>('Datos de muestra y medidos'!$C$31*'Datos de muestra y medidos'!$C$22*'Datos de muestra y medidos'!$C$11*'Datos de muestra y medidos'!$C$20)/('Datos de muestra y medidos'!$C$13*'Datos medidos'!C43)</f>
        <v>119.98174161105594</v>
      </c>
      <c r="H15" s="16">
        <f>'Datos medidos'!A69*'Datos de muestra y medidos'!$C$23/'Datos de muestra y medidos'!$C$17</f>
        <v>1.6474464579901171</v>
      </c>
      <c r="I15" s="16">
        <f>('Datos de muestra y medidos'!$C$31*'Datos de muestra y medidos'!$C$23*'Datos de muestra y medidos'!$C$11*'Datos de muestra y medidos'!$C$19)/('Datos de muestra y medidos'!$C$13*'Datos medidos'!C69)</f>
        <v>3.1645356935850422</v>
      </c>
    </row>
    <row r="16" spans="1:22" ht="18">
      <c r="B16" s="16">
        <f>'Datos medidos'!A17*'Datos de muestra y medidos'!$C$21/'Datos de muestra y medidos'!$C$17</f>
        <v>2.1181454459872935</v>
      </c>
      <c r="C16" s="16">
        <f>('Datos de muestra y medidos'!$C$31*'Datos de muestra y medidos'!$C$21*'Datos de muestra y medidos'!$C$11*'Datos de muestra y medidos'!$C$19)/('Datos de muestra y medidos'!$C$13*'Datos medidos'!C17)</f>
        <v>44.325943225747935</v>
      </c>
      <c r="E16" s="16">
        <f>'Datos medidos'!A44*'Datos de muestra y medidos'!$C$22/'Datos de muestra y medidos'!$C$17</f>
        <v>2.1181454459872935</v>
      </c>
      <c r="F16" s="16">
        <f>('Datos de muestra y medidos'!$C$31*'Datos de muestra y medidos'!$C$22*'Datos de muestra y medidos'!$C$11*'Datos de muestra y medidos'!$C$20)/('Datos de muestra y medidos'!$C$13*'Datos medidos'!C44)</f>
        <v>124.09663888652537</v>
      </c>
      <c r="H16" s="16">
        <f>'Datos medidos'!A70*'Datos de muestra y medidos'!$C$23/'Datos de muestra y medidos'!$C$17</f>
        <v>1.8827959519887054</v>
      </c>
      <c r="I16" s="16">
        <f>('Datos de muestra y medidos'!$C$31*'Datos de muestra y medidos'!$C$23*'Datos de muestra y medidos'!$C$11*'Datos de muestra y medidos'!$C$19)/('Datos de muestra y medidos'!$C$13*'Datos medidos'!C70)</f>
        <v>2.5879743249815568</v>
      </c>
    </row>
    <row r="17" spans="2:9" ht="18">
      <c r="B17" s="16">
        <f>'Datos medidos'!A18*'Datos de muestra y medidos'!$C$21/'Datos de muestra y medidos'!$C$17</f>
        <v>2.3534949399858816</v>
      </c>
      <c r="C17" s="16">
        <f>('Datos de muestra y medidos'!$C$31*'Datos de muestra y medidos'!$C$21*'Datos de muestra y medidos'!$C$11*'Datos de muestra y medidos'!$C$19)/('Datos de muestra y medidos'!$C$13*'Datos medidos'!C18)</f>
        <v>42.95503776515779</v>
      </c>
      <c r="E17" s="16">
        <f>'Datos medidos'!A45*'Datos de muestra y medidos'!$C$22/'Datos de muestra y medidos'!$C$17</f>
        <v>2.3534949399858816</v>
      </c>
      <c r="F17" s="16">
        <f>('Datos de muestra y medidos'!$C$31*'Datos de muestra y medidos'!$C$22*'Datos de muestra y medidos'!$C$11*'Datos de muestra y medidos'!$C$20)/('Datos de muestra y medidos'!$C$13*'Datos medidos'!C45)</f>
        <v>127.55016315980528</v>
      </c>
      <c r="H17" s="16">
        <f>'Datos medidos'!A71*'Datos de muestra y medidos'!$C$23/'Datos de muestra y medidos'!$C$17</f>
        <v>2.1181454459872935</v>
      </c>
      <c r="I17" s="16">
        <f>('Datos de muestra y medidos'!$C$31*'Datos de muestra y medidos'!$C$23*'Datos de muestra y medidos'!$C$11*'Datos de muestra y medidos'!$C$19)/('Datos de muestra y medidos'!$C$13*'Datos medidos'!C71)</f>
        <v>2.204570721280585</v>
      </c>
    </row>
    <row r="18" spans="2:9" ht="18">
      <c r="B18" s="16">
        <f>'Datos medidos'!A19*'Datos de muestra y medidos'!$C$21/'Datos de muestra y medidos'!$C$17</f>
        <v>2.5888444339844701</v>
      </c>
      <c r="C18" s="16">
        <f>('Datos de muestra y medidos'!$C$31*'Datos de muestra y medidos'!$C$21*'Datos de muestra y medidos'!$C$11*'Datos de muestra y medidos'!$C$19)/('Datos de muestra y medidos'!$C$13*'Datos medidos'!C19)</f>
        <v>42.087259224447529</v>
      </c>
      <c r="E18" s="16">
        <f>'Datos medidos'!A46*'Datos de muestra y medidos'!$C$22/'Datos de muestra y medidos'!$C$17</f>
        <v>2.5888444339844701</v>
      </c>
      <c r="F18" s="16">
        <f>('Datos de muestra y medidos'!$C$31*'Datos de muestra y medidos'!$C$22*'Datos de muestra y medidos'!$C$11*'Datos de muestra y medidos'!$C$20)/('Datos de muestra y medidos'!$C$13*'Datos medidos'!C46)</f>
        <v>130.20745822563458</v>
      </c>
      <c r="H18" s="16">
        <f>'Datos medidos'!A72*'Datos de muestra y medidos'!$C$23/'Datos de muestra y medidos'!$C$17</f>
        <v>2.3534949399858816</v>
      </c>
      <c r="I18" s="16">
        <f>('Datos de muestra y medidos'!$C$31*'Datos de muestra y medidos'!$C$23*'Datos de muestra y medidos'!$C$11*'Datos de muestra y medidos'!$C$19)/('Datos de muestra y medidos'!$C$13*'Datos medidos'!C72)</f>
        <v>1.8996832811034827</v>
      </c>
    </row>
    <row r="19" spans="2:9" ht="18">
      <c r="B19" s="16">
        <f>'Datos medidos'!A20*'Datos de muestra y medidos'!$C$21/'Datos de muestra y medidos'!$C$17</f>
        <v>2.8241939279830581</v>
      </c>
      <c r="C19" s="16">
        <f>('Datos de muestra y medidos'!$C$31*'Datos de muestra y medidos'!$C$21*'Datos de muestra y medidos'!$C$11*'Datos de muestra y medidos'!$C$19)/('Datos de muestra y medidos'!$C$13*'Datos medidos'!C20)</f>
        <v>40.716338728537195</v>
      </c>
      <c r="E19" s="16">
        <f>'Datos medidos'!A47*'Datos de muestra y medidos'!$C$22/'Datos de muestra y medidos'!$C$17</f>
        <v>2.8241939279830581</v>
      </c>
      <c r="F19" s="16">
        <f>('Datos de muestra y medidos'!$C$31*'Datos de muestra y medidos'!$C$22*'Datos de muestra y medidos'!$C$11*'Datos de muestra y medidos'!$C$20)/('Datos de muestra y medidos'!$C$13*'Datos medidos'!C47)</f>
        <v>133.23553864948653</v>
      </c>
      <c r="H19" s="16">
        <f>'Datos medidos'!A73*'Datos de muestra y medidos'!$C$23/'Datos de muestra y medidos'!$C$17</f>
        <v>2.5888444339844701</v>
      </c>
      <c r="I19" s="16">
        <f>('Datos de muestra y medidos'!$C$31*'Datos de muestra y medidos'!$C$23*'Datos de muestra y medidos'!$C$11*'Datos de muestra y medidos'!$C$19)/('Datos de muestra y medidos'!$C$13*'Datos medidos'!C73)</f>
        <v>1.7053091391079014</v>
      </c>
    </row>
    <row r="20" spans="2:9" ht="15.75" customHeight="1">
      <c r="B20" s="16">
        <f>'Datos medidos'!A21*'Datos de muestra y medidos'!$C$21/'Datos de muestra y medidos'!$C$17</f>
        <v>3.0595434219816462</v>
      </c>
      <c r="C20" s="16">
        <f>('Datos de muestra y medidos'!$C$31*'Datos de muestra y medidos'!$C$21*'Datos de muestra y medidos'!$C$11*'Datos de muestra y medidos'!$C$19)/('Datos de muestra y medidos'!$C$13*'Datos medidos'!C21)</f>
        <v>39.55669616981303</v>
      </c>
      <c r="E20" s="16">
        <f>'Datos medidos'!A48*'Datos de muestra y medidos'!$C$22/'Datos de muestra y medidos'!$C$17</f>
        <v>3.0595434219816462</v>
      </c>
      <c r="F20" s="16">
        <f>('Datos de muestra y medidos'!$C$31*'Datos de muestra y medidos'!$C$22*'Datos de muestra y medidos'!$C$11*'Datos de muestra y medidos'!$C$20)/('Datos de muestra y medidos'!$C$13*'Datos medidos'!C48)</f>
        <v>134.53921319595901</v>
      </c>
      <c r="H20" s="16">
        <f>'Datos medidos'!A74*'Datos de muestra y medidos'!$C$23/'Datos de muestra y medidos'!$C$17</f>
        <v>2.8241939279830581</v>
      </c>
      <c r="I20" s="16">
        <f>('Datos de muestra y medidos'!$C$31*'Datos de muestra y medidos'!$C$23*'Datos de muestra y medidos'!$C$11*'Datos de muestra y medidos'!$C$19)/('Datos de muestra y medidos'!$C$13*'Datos medidos'!C74)</f>
        <v>1.6212601802413642</v>
      </c>
    </row>
    <row r="21" spans="2:9" ht="15.75" customHeight="1">
      <c r="B21" s="16">
        <f>'Datos medidos'!A22*'Datos de muestra y medidos'!$C$21/'Datos de muestra y medidos'!$C$17</f>
        <v>3.2948929159802343</v>
      </c>
      <c r="C21" s="16">
        <f>('Datos de muestra y medidos'!$C$31*'Datos de muestra y medidos'!$C$21*'Datos de muestra y medidos'!$C$11*'Datos de muestra y medidos'!$C$19)/('Datos de muestra y medidos'!$C$13*'Datos medidos'!C22)</f>
        <v>38.819614874723342</v>
      </c>
      <c r="E21" s="16">
        <f>'Datos medidos'!A49*'Datos de muestra y medidos'!$C$22/'Datos de muestra y medidos'!$C$17</f>
        <v>3.2948929159802343</v>
      </c>
      <c r="F21" s="16">
        <f>('Datos de muestra y medidos'!$C$31*'Datos de muestra y medidos'!$C$22*'Datos de muestra y medidos'!$C$11*'Datos de muestra y medidos'!$C$20)/('Datos de muestra y medidos'!$C$13*'Datos medidos'!C49)</f>
        <v>136.40781337923622</v>
      </c>
      <c r="H21" s="16">
        <f>'Datos medidos'!A75*'Datos de muestra y medidos'!$C$23/'Datos de muestra y medidos'!$C$17</f>
        <v>3.0595434219816462</v>
      </c>
      <c r="I21" s="16">
        <f>('Datos de muestra y medidos'!$C$31*'Datos de muestra y medidos'!$C$23*'Datos de muestra y medidos'!$C$11*'Datos de muestra y medidos'!$C$19)/('Datos de muestra y medidos'!$C$13*'Datos medidos'!C75)</f>
        <v>1.5903201004657657</v>
      </c>
    </row>
    <row r="22" spans="2:9" ht="15.75" customHeight="1">
      <c r="B22" s="16">
        <f>'Datos medidos'!A23*'Datos de muestra y medidos'!$C$21/'Datos de muestra y medidos'!$C$17</f>
        <v>3.5302424099788223</v>
      </c>
      <c r="C22" s="16">
        <f>('Datos de muestra y medidos'!$C$31*'Datos de muestra y medidos'!$C$21*'Datos de muestra y medidos'!$C$11*'Datos de muestra y medidos'!$C$19)/('Datos de muestra y medidos'!$C$13*'Datos medidos'!C23)</f>
        <v>38.226042781837663</v>
      </c>
      <c r="E22" s="16">
        <f>'Datos medidos'!A50*'Datos de muestra y medidos'!$C$22/'Datos de muestra y medidos'!$C$17</f>
        <v>3.5302424099788223</v>
      </c>
      <c r="F22" s="16">
        <f>('Datos de muestra y medidos'!$C$31*'Datos de muestra y medidos'!$C$22*'Datos de muestra y medidos'!$C$11*'Datos de muestra y medidos'!$C$20)/('Datos de muestra y medidos'!$C$13*'Datos medidos'!C50)</f>
        <v>138.05128101031133</v>
      </c>
      <c r="H22" s="16">
        <f>'Datos medidos'!A76*'Datos de muestra y medidos'!$C$23/'Datos de muestra y medidos'!$C$17</f>
        <v>3.2948929159802343</v>
      </c>
      <c r="I22" s="16">
        <f>('Datos de muestra y medidos'!$C$31*'Datos de muestra y medidos'!$C$23*'Datos de muestra y medidos'!$C$11*'Datos de muestra y medidos'!$C$19)/('Datos de muestra y medidos'!$C$13*'Datos medidos'!C76)</f>
        <v>1.5723164766869078</v>
      </c>
    </row>
    <row r="23" spans="2:9" ht="15.75" customHeight="1">
      <c r="B23" s="16">
        <f>'Datos medidos'!A24*'Datos de muestra y medidos'!$C$21/'Datos de muestra y medidos'!$C$17</f>
        <v>3.7655919039774108</v>
      </c>
      <c r="C23" s="16">
        <f>('Datos de muestra y medidos'!$C$31*'Datos de muestra y medidos'!$C$21*'Datos de muestra y medidos'!$C$11*'Datos de muestra y medidos'!$C$19)/('Datos de muestra y medidos'!$C$13*'Datos medidos'!C24)</f>
        <v>37.424898172637477</v>
      </c>
      <c r="E23" s="16">
        <f>'Datos medidos'!A51*'Datos de muestra y medidos'!$C$22/'Datos de muestra y medidos'!$C$17</f>
        <v>3.7655919039774108</v>
      </c>
      <c r="F23" s="16">
        <f>('Datos de muestra y medidos'!$C$31*'Datos de muestra y medidos'!$C$22*'Datos de muestra y medidos'!$C$11*'Datos de muestra y medidos'!$C$20)/('Datos de muestra y medidos'!$C$13*'Datos medidos'!C51)</f>
        <v>139.73483321775416</v>
      </c>
      <c r="H23" s="16">
        <f>'Datos medidos'!A77*'Datos de muestra y medidos'!$C$23/'Datos de muestra y medidos'!$C$17</f>
        <v>3.5302424099788223</v>
      </c>
      <c r="I23" s="16">
        <f>('Datos de muestra y medidos'!$C$31*'Datos de muestra y medidos'!$C$23*'Datos de muestra y medidos'!$C$11*'Datos de muestra y medidos'!$C$19)/('Datos de muestra y medidos'!$C$13*'Datos medidos'!C77)</f>
        <v>1.5566520535069635</v>
      </c>
    </row>
    <row r="24" spans="2:9" ht="15.75" customHeight="1">
      <c r="B24" s="16">
        <f>'Datos medidos'!A25*'Datos de muestra y medidos'!$C$21/'Datos de muestra y medidos'!$C$17</f>
        <v>4.0009413979759989</v>
      </c>
      <c r="C24" s="16">
        <f>('Datos de muestra y medidos'!$C$31*'Datos de muestra y medidos'!$C$21*'Datos de muestra y medidos'!$C$11*'Datos de muestra y medidos'!$C$19)/('Datos de muestra y medidos'!$C$13*'Datos medidos'!C25)</f>
        <v>37.091738841723789</v>
      </c>
      <c r="E24" s="16">
        <f>'Datos medidos'!A52*'Datos de muestra y medidos'!$C$22/'Datos de muestra y medidos'!$C$17</f>
        <v>4.0009413979759989</v>
      </c>
      <c r="F24" s="16">
        <f>('Datos de muestra y medidos'!$C$31*'Datos de muestra y medidos'!$C$22*'Datos de muestra y medidos'!$C$11*'Datos de muestra y medidos'!$C$20)/('Datos de muestra y medidos'!$C$13*'Datos medidos'!C52)</f>
        <v>141.16948242943542</v>
      </c>
      <c r="H24" s="16">
        <f>'Datos medidos'!A78*'Datos de muestra y medidos'!$C$23/'Datos de muestra y medidos'!$C$17</f>
        <v>3.7655919039774108</v>
      </c>
      <c r="I24" s="16">
        <f>('Datos de muestra y medidos'!$C$31*'Datos de muestra y medidos'!$C$23*'Datos de muestra y medidos'!$C$11*'Datos de muestra y medidos'!$C$19)/('Datos de muestra y medidos'!$C$13*'Datos medidos'!C78)</f>
        <v>1.5431995048964096</v>
      </c>
    </row>
    <row r="25" spans="2:9" ht="15.75" customHeight="1">
      <c r="B25" s="16">
        <f>'Datos medidos'!A26*'Datos de muestra y medidos'!$C$21/'Datos de muestra y medidos'!$C$17</f>
        <v>4.236290891974587</v>
      </c>
      <c r="C25" s="16">
        <f>('Datos de muestra y medidos'!$C$31*'Datos de muestra y medidos'!$C$21*'Datos de muestra y medidos'!$C$11*'Datos de muestra y medidos'!$C$19)/('Datos de muestra y medidos'!$C$13*'Datos medidos'!C26)</f>
        <v>36.656645130970432</v>
      </c>
      <c r="E25" s="16">
        <f>'Datos medidos'!A53*'Datos de muestra y medidos'!$C$22/'Datos de muestra y medidos'!$C$17</f>
        <v>4.236290891974587</v>
      </c>
      <c r="F25" s="16">
        <f>('Datos de muestra y medidos'!$C$31*'Datos de muestra y medidos'!$C$22*'Datos de muestra y medidos'!$C$11*'Datos de muestra y medidos'!$C$20)/('Datos de muestra y medidos'!$C$13*'Datos medidos'!C53)</f>
        <v>142.3385878739856</v>
      </c>
      <c r="H25" s="16">
        <f>'Datos medidos'!A79*'Datos de muestra y medidos'!$C$23/'Datos de muestra y medidos'!$C$17</f>
        <v>4.0009413979759989</v>
      </c>
      <c r="I25" s="16">
        <f>('Datos de muestra y medidos'!$C$31*'Datos de muestra y medidos'!$C$23*'Datos de muestra y medidos'!$C$11*'Datos de muestra y medidos'!$C$19)/('Datos de muestra y medidos'!$C$13*'Datos medidos'!C79)</f>
        <v>1.5318524497133479</v>
      </c>
    </row>
    <row r="26" spans="2:9" ht="15.75" customHeight="1">
      <c r="B26" s="16">
        <f>'Datos medidos'!A27*'Datos de muestra y medidos'!$C$21/'Datos de muestra y medidos'!$C$17</f>
        <v>4.471640385973175</v>
      </c>
      <c r="C26" s="16">
        <f>('Datos de muestra y medidos'!$C$31*'Datos de muestra y medidos'!$C$21*'Datos de muestra y medidos'!$C$11*'Datos de muestra y medidos'!$C$19)/('Datos de muestra y medidos'!$C$13*'Datos medidos'!C27)</f>
        <v>36.3369650862236</v>
      </c>
      <c r="E26" s="16">
        <f>'Datos medidos'!A54*'Datos de muestra y medidos'!$C$22/'Datos de muestra y medidos'!$C$17</f>
        <v>4.471640385973175</v>
      </c>
      <c r="F26" s="16">
        <f>('Datos de muestra y medidos'!$C$31*'Datos de muestra y medidos'!$C$22*'Datos de muestra y medidos'!$C$11*'Datos de muestra y medidos'!$C$20)/('Datos de muestra y medidos'!$C$13*'Datos medidos'!C54)</f>
        <v>143.82748523668423</v>
      </c>
      <c r="H26" s="16">
        <f>'Datos medidos'!A80*'Datos de muestra y medidos'!$C$23/'Datos de muestra y medidos'!$C$17</f>
        <v>4.236290891974587</v>
      </c>
      <c r="I26" s="16">
        <f>('Datos de muestra y medidos'!$C$31*'Datos de muestra y medidos'!$C$23*'Datos de muestra y medidos'!$C$11*'Datos de muestra y medidos'!$C$19)/('Datos de muestra y medidos'!$C$13*'Datos medidos'!C80)</f>
        <v>1.522523263052487</v>
      </c>
    </row>
    <row r="27" spans="2:9" ht="15.75" customHeight="1">
      <c r="B27" s="16">
        <f>'Datos medidos'!A28*'Datos de muestra y medidos'!$C$21/'Datos de muestra y medidos'!$C$17</f>
        <v>4.7069898799717631</v>
      </c>
      <c r="C27" s="16">
        <f>('Datos de muestra y medidos'!$C$31*'Datos de muestra y medidos'!$C$21*'Datos de muestra y medidos'!$C$11*'Datos de muestra y medidos'!$C$19)/('Datos de muestra y medidos'!$C$13*'Datos medidos'!C28)</f>
        <v>36.126924825609592</v>
      </c>
      <c r="E27" s="16">
        <f>'Datos medidos'!A55*'Datos de muestra y medidos'!$C$22/'Datos de muestra y medidos'!$C$17</f>
        <v>4.7069898799717631</v>
      </c>
      <c r="F27" s="16">
        <f>('Datos de muestra y medidos'!$C$31*'Datos de muestra y medidos'!$C$22*'Datos de muestra y medidos'!$C$11*'Datos de muestra y medidos'!$C$20)/('Datos de muestra y medidos'!$C$13*'Datos medidos'!C55)</f>
        <v>145.04121928931445</v>
      </c>
      <c r="H27" s="16">
        <f>'Datos medidos'!A81*'Datos de muestra y medidos'!$C$23/'Datos de muestra y medidos'!$C$17</f>
        <v>4.471640385973175</v>
      </c>
      <c r="I27" s="16">
        <f>('Datos de muestra y medidos'!$C$31*'Datos de muestra y medidos'!$C$23*'Datos de muestra y medidos'!$C$11*'Datos de muestra y medidos'!$C$19)/('Datos de muestra y medidos'!$C$13*'Datos medidos'!C81)</f>
        <v>1.5169800958326356</v>
      </c>
    </row>
    <row r="28" spans="2:9" ht="15.75" customHeight="1">
      <c r="B28" s="16">
        <f>'Datos medidos'!A29*'Datos de muestra y medidos'!$C$21/'Datos de muestra y medidos'!$C$17</f>
        <v>4.9423393739703512</v>
      </c>
      <c r="C28" s="16">
        <f>('Datos de muestra y medidos'!$C$31*'Datos de muestra y medidos'!$C$21*'Datos de muestra y medidos'!$C$11*'Datos de muestra y medidos'!$C$19)/('Datos de muestra y medidos'!$C$13*'Datos medidos'!C29)</f>
        <v>35.919298820864711</v>
      </c>
      <c r="E28" s="16">
        <f>'Datos medidos'!A56*'Datos de muestra y medidos'!$C$22/'Datos de muestra y medidos'!$C$17</f>
        <v>4.9423393739703512</v>
      </c>
      <c r="F28" s="16">
        <f>('Datos de muestra y medidos'!$C$31*'Datos de muestra y medidos'!$C$22*'Datos de muestra y medidos'!$C$11*'Datos de muestra y medidos'!$C$20)/('Datos de muestra y medidos'!$C$13*'Datos medidos'!C56)</f>
        <v>146.27561264496819</v>
      </c>
      <c r="H28" s="16">
        <f>'Datos medidos'!A82*'Datos de muestra y medidos'!$C$23/'Datos de muestra y medidos'!$C$17</f>
        <v>4.7069898799717631</v>
      </c>
      <c r="I28" s="16">
        <f>('Datos de muestra y medidos'!$C$31*'Datos de muestra y medidos'!$C$23*'Datos de muestra y medidos'!$C$11*'Datos de muestra y medidos'!$C$19)/('Datos de muestra y medidos'!$C$13*'Datos medidos'!C82)</f>
        <v>1.5114771450617797</v>
      </c>
    </row>
    <row r="29" spans="2:9" ht="15.75" customHeight="1">
      <c r="B29" s="16">
        <f>'Datos medidos'!A30*'Datos de muestra y medidos'!$C$21/'Datos de muestra y medidos'!$C$17</f>
        <v>5.1776888679689401</v>
      </c>
      <c r="C29" s="16">
        <f>('Datos de muestra y medidos'!$C$31*'Datos de muestra y medidos'!$C$21*'Datos de muestra y medidos'!$C$11*'Datos de muestra y medidos'!$C$19)/('Datos de muestra y medidos'!$C$13*'Datos medidos'!C30)</f>
        <v>35.816378193870825</v>
      </c>
      <c r="E29" s="16">
        <f>'Datos medidos'!A57*'Datos de muestra y medidos'!$C$22/'Datos de muestra y medidos'!$C$17</f>
        <v>5.1776888679689401</v>
      </c>
      <c r="F29" s="16">
        <f>('Datos de muestra y medidos'!$C$31*'Datos de muestra y medidos'!$C$22*'Datos de muestra y medidos'!$C$11*'Datos de muestra y medidos'!$C$20)/('Datos de muestra y medidos'!$C$13*'Datos medidos'!C57)</f>
        <v>146.90072210071594</v>
      </c>
      <c r="H29" s="16">
        <f>'Datos medidos'!A83*'Datos de muestra y medidos'!$C$23/'Datos de muestra y medidos'!$C$17</f>
        <v>4.9423393739703512</v>
      </c>
      <c r="I29" s="16">
        <f>('Datos de muestra y medidos'!$C$31*'Datos de muestra y medidos'!$C$23*'Datos de muestra y medidos'!$C$11*'Datos de muestra y medidos'!$C$19)/('Datos de muestra y medidos'!$C$13*'Datos medidos'!C83)</f>
        <v>1.506013974657942</v>
      </c>
    </row>
    <row r="30" spans="2:9" ht="15.75" customHeight="1">
      <c r="B30" s="16">
        <f>'Datos medidos'!A31*'Datos de muestra y medidos'!$C$21/'Datos de muestra y medidos'!$C$17</f>
        <v>5.4130383619675282</v>
      </c>
      <c r="C30" s="16">
        <f>('Datos de muestra y medidos'!$C$31*'Datos de muestra y medidos'!$C$21*'Datos de muestra y medidos'!$C$11*'Datos de muestra y medidos'!$C$19)/('Datos de muestra y medidos'!$C$13*'Datos medidos'!C31)</f>
        <v>35.714045684745479</v>
      </c>
      <c r="E30" s="16">
        <f>'Datos medidos'!A58*'Datos de muestra y medidos'!$C$22/'Datos de muestra y medidos'!$C$17</f>
        <v>5.4130383619675282</v>
      </c>
      <c r="F30" s="16">
        <f>('Datos de muestra y medidos'!$C$31*'Datos de muestra y medidos'!$C$22*'Datos de muestra y medidos'!$C$11*'Datos de muestra y medidos'!$C$20)/('Datos de muestra y medidos'!$C$13*'Datos medidos'!C58)</f>
        <v>147.84846869491406</v>
      </c>
      <c r="H30" s="16">
        <f>'Datos medidos'!A84*'Datos de muestra y medidos'!$C$23/'Datos de muestra y medidos'!$C$17</f>
        <v>5.1776888679689401</v>
      </c>
      <c r="I30" s="16">
        <f>('Datos de muestra y medidos'!$C$31*'Datos de muestra y medidos'!$C$23*'Datos de muestra y medidos'!$C$11*'Datos de muestra y medidos'!$C$19)/('Datos de muestra y medidos'!$C$13*'Datos medidos'!C84)</f>
        <v>1.5023937487573218</v>
      </c>
    </row>
    <row r="31" spans="2:9" ht="15.75" customHeight="1">
      <c r="B31" s="16">
        <f>'Datos medidos'!A32*'Datos de muestra y medidos'!$C$21/'Datos de muestra y medidos'!$C$17</f>
        <v>5.6483878559661163</v>
      </c>
      <c r="C31" s="16">
        <f>('Datos de muestra y medidos'!$C$31*'Datos de muestra y medidos'!$C$21*'Datos de muestra y medidos'!$C$11*'Datos de muestra y medidos'!$C$19)/('Datos de muestra y medidos'!$C$13*'Datos medidos'!C32)</f>
        <v>35.612296266840225</v>
      </c>
      <c r="E31" s="16">
        <f>'Datos medidos'!A59*'Datos de muestra y medidos'!$C$22/'Datos de muestra y medidos'!$C$17</f>
        <v>5.6483878559661163</v>
      </c>
      <c r="F31" s="16">
        <f>('Datos de muestra y medidos'!$C$31*'Datos de muestra y medidos'!$C$22*'Datos de muestra y medidos'!$C$11*'Datos de muestra y medidos'!$C$20)/('Datos de muestra y medidos'!$C$13*'Datos medidos'!C59)</f>
        <v>148.80852368643949</v>
      </c>
      <c r="H31" s="16">
        <f>'Datos medidos'!A85*'Datos de muestra y medidos'!$C$23/'Datos de muestra y medidos'!$C$17</f>
        <v>5.4130383619675282</v>
      </c>
      <c r="I31" s="16">
        <f>('Datos de muestra y medidos'!$C$31*'Datos de muestra y medidos'!$C$23*'Datos de muestra y medidos'!$C$11*'Datos de muestra y medidos'!$C$19)/('Datos de muestra y medidos'!$C$13*'Datos medidos'!C85)</f>
        <v>1.4987908860504697</v>
      </c>
    </row>
    <row r="32" spans="2:9" ht="15.75" customHeight="1">
      <c r="B32" s="16">
        <f>'Datos medidos'!A33*'Datos de muestra y medidos'!$C$21/'Datos de muestra y medidos'!$C$17</f>
        <v>5.8837373499647043</v>
      </c>
      <c r="C32" s="16">
        <f>('Datos de muestra y medidos'!$C$31*'Datos de muestra y medidos'!$C$21*'Datos de muestra y medidos'!$C$11*'Datos de muestra y medidos'!$C$19)/('Datos de muestra y medidos'!$C$13*'Datos medidos'!C33)</f>
        <v>35.211030956791319</v>
      </c>
      <c r="E32" s="16">
        <f>'Datos medidos'!A60*'Datos de muestra y medidos'!$C$22/'Datos de muestra y medidos'!$C$17</f>
        <v>5.8837373499647043</v>
      </c>
      <c r="F32" s="16">
        <f>('Datos de muestra y medidos'!$C$31*'Datos de muestra y medidos'!$C$22*'Datos de muestra y medidos'!$C$11*'Datos de muestra y medidos'!$C$20)/('Datos de muestra y medidos'!$C$13*'Datos medidos'!C60)</f>
        <v>189.39266651001392</v>
      </c>
      <c r="H32" s="16">
        <f>'Datos medidos'!A86*'Datos de muestra y medidos'!$C$23/'Datos de muestra y medidos'!$C$17</f>
        <v>5.6483878559661163</v>
      </c>
      <c r="I32" s="16">
        <f>('Datos de muestra y medidos'!$C$31*'Datos de muestra y medidos'!$C$23*'Datos de muestra y medidos'!$C$11*'Datos de muestra y medidos'!$C$19)/('Datos de muestra y medidos'!$C$13*'Datos medidos'!C86)</f>
        <v>1.4952052619211624</v>
      </c>
    </row>
    <row r="33" spans="1:9" ht="15.75" customHeight="1">
      <c r="B33" s="10"/>
      <c r="C33" s="10"/>
      <c r="E33" s="10"/>
      <c r="F33" s="10"/>
      <c r="H33" s="10"/>
      <c r="I33" s="10"/>
    </row>
    <row r="34" spans="1:9" ht="15.75" customHeight="1">
      <c r="E34" s="10"/>
      <c r="H34" s="16">
        <f>'Datos medidos'!A87*'Datos de muestra y medidos'!$C$23/'Datos de muestra y medidos'!$C$17</f>
        <v>5.8837373499647043</v>
      </c>
      <c r="I34" s="16">
        <f>('Datos de muestra y medidos'!$C$31*'Datos de muestra y medidos'!$C$23*'Datos de muestra y medidos'!$C$11*'Datos de muestra y medidos'!$C$19)/('Datos de muestra y medidos'!$C$13*'Datos medidos'!C87)</f>
        <v>1.4916367529428303</v>
      </c>
    </row>
    <row r="35" spans="1:9" ht="15.75" customHeight="1">
      <c r="A35" s="12" t="s">
        <v>20</v>
      </c>
      <c r="C35" s="28">
        <f>AVERAGE(C8:C32)</f>
        <v>126.94877773917254</v>
      </c>
      <c r="E35" s="10"/>
      <c r="F35" s="28">
        <f>AVERAGE(F8:F32)</f>
        <v>157.54054026706126</v>
      </c>
      <c r="H35" s="16">
        <f>'Datos medidos'!A88*'Datos de muestra y medidos'!$C$23/'Datos de muestra y medidos'!$C$17</f>
        <v>6.1190868439632924</v>
      </c>
      <c r="I35" s="16">
        <f>('Datos de muestra y medidos'!$C$31*'Datos de muestra y medidos'!$C$23*'Datos de muestra y medidos'!$C$11*'Datos de muestra y medidos'!$C$19)/('Datos de muestra y medidos'!$C$13*'Datos medidos'!C88)</f>
        <v>1.4880852368643949</v>
      </c>
    </row>
    <row r="36" spans="1:9" ht="15.75" customHeight="1">
      <c r="A36" s="12" t="s">
        <v>21</v>
      </c>
      <c r="C36" s="28">
        <f>_xlfn.STDEV.S(C8:C32)</f>
        <v>407.97747105431239</v>
      </c>
      <c r="E36" s="10"/>
      <c r="F36" s="28">
        <f>_xlfn.STDEV.S(F8:F32)</f>
        <v>87.409853094352854</v>
      </c>
      <c r="H36" s="16">
        <f>'Datos medidos'!A89*'Datos de muestra y medidos'!$C$23/'Datos de muestra y medidos'!$C$17</f>
        <v>6.3544363379618805</v>
      </c>
      <c r="I36" s="16">
        <f>('Datos de muestra y medidos'!$C$31*'Datos de muestra y medidos'!$C$23*'Datos de muestra y medidos'!$C$11*'Datos de muestra y medidos'!$C$19)/('Datos de muestra y medidos'!$C$13*'Datos medidos'!C89)</f>
        <v>1.4845505925963085</v>
      </c>
    </row>
    <row r="37" spans="1:9" ht="15.75" customHeight="1">
      <c r="E37" s="10"/>
      <c r="H37" s="16">
        <f>'Datos medidos'!A90*'Datos de muestra y medidos'!$C$23/'Datos de muestra y medidos'!$C$17</f>
        <v>6.5897858319604685</v>
      </c>
      <c r="I37" s="16">
        <f>('Datos de muestra y medidos'!$C$31*'Datos de muestra y medidos'!$C$23*'Datos de muestra y medidos'!$C$11*'Datos de muestra y medidos'!$C$19)/('Datos de muestra y medidos'!$C$13*'Datos medidos'!C90)</f>
        <v>1.4827895598648775</v>
      </c>
    </row>
    <row r="38" spans="1:9" ht="15.75" customHeight="1">
      <c r="A38" s="12" t="s">
        <v>22</v>
      </c>
      <c r="C38" s="29">
        <f>AVERAGE('Datos medidos'!C8:C33)</f>
        <v>2.7446153846153853</v>
      </c>
      <c r="E38" s="10"/>
      <c r="F38" s="29">
        <f>AVERAGE('Datos medidos'!C35:C60)</f>
        <v>47.007692307692302</v>
      </c>
      <c r="H38" s="16">
        <f>'Datos medidos'!A91*'Datos de muestra y medidos'!$C$23/'Datos de muestra y medidos'!$C$17</f>
        <v>6.8251353259590566</v>
      </c>
      <c r="I38" s="16">
        <f>('Datos de muestra y medidos'!$C$31*'Datos de muestra y medidos'!$C$23*'Datos de muestra y medidos'!$C$11*'Datos de muestra y medidos'!$C$19)/('Datos de muestra y medidos'!$C$13*'Datos medidos'!C91)</f>
        <v>1.4792799987764398</v>
      </c>
    </row>
    <row r="39" spans="1:9" ht="15.75" customHeight="1">
      <c r="E39" s="10"/>
      <c r="H39" s="16">
        <f>'Datos medidos'!A92*'Datos de muestra y medidos'!$C$23/'Datos de muestra y medidos'!$C$17</f>
        <v>7.0604848199576447</v>
      </c>
      <c r="I39" s="16">
        <f>('Datos de muestra y medidos'!$C$31*'Datos de muestra y medidos'!$C$23*'Datos de muestra y medidos'!$C$11*'Datos de muestra y medidos'!$C$19)/('Datos de muestra y medidos'!$C$13*'Datos medidos'!C92)</f>
        <v>1.4757870117663421</v>
      </c>
    </row>
    <row r="40" spans="1:9" ht="15.75" customHeight="1">
      <c r="E40" s="10"/>
      <c r="H40" s="16">
        <f>'Datos medidos'!A93*'Datos de muestra y medidos'!$C$23/'Datos de muestra y medidos'!$C$17</f>
        <v>7.2958343139562336</v>
      </c>
      <c r="I40" s="16">
        <f>('Datos de muestra y medidos'!$C$31*'Datos de muestra y medidos'!$C$23*'Datos de muestra y medidos'!$C$11*'Datos de muestra y medidos'!$C$19)/('Datos de muestra y medidos'!$C$13*'Datos medidos'!C93)</f>
        <v>1.474046696893976</v>
      </c>
    </row>
    <row r="41" spans="1:9" ht="15.75" customHeight="1">
      <c r="E41" s="10"/>
      <c r="H41" s="16">
        <f>'Datos medidos'!A94*'Datos de muestra y medidos'!$C$23/'Datos de muestra y medidos'!$C$17</f>
        <v>7.5311838079548217</v>
      </c>
      <c r="I41" s="16">
        <f>('Datos de muestra y medidos'!$C$31*'Datos de muestra y medidos'!$C$23*'Datos de muestra y medidos'!$C$11*'Datos de muestra y medidos'!$C$19)/('Datos de muestra y medidos'!$C$13*'Datos medidos'!C94)</f>
        <v>1.4705783517248137</v>
      </c>
    </row>
    <row r="42" spans="1:9" ht="15.75" customHeight="1">
      <c r="E42" s="10"/>
      <c r="H42" s="16">
        <f>'Datos medidos'!A95*'Datos de muestra y medidos'!$C$23/'Datos de muestra y medidos'!$C$17</f>
        <v>7.7665333019534097</v>
      </c>
      <c r="I42" s="16">
        <f>('Datos de muestra y medidos'!$C$31*'Datos de muestra y medidos'!$C$23*'Datos de muestra y medidos'!$C$11*'Datos de muestra y medidos'!$C$19)/('Datos de muestra y medidos'!$C$13*'Datos medidos'!C95)</f>
        <v>1.4688502925570996</v>
      </c>
    </row>
    <row r="43" spans="1:9" ht="15.75" customHeight="1">
      <c r="E43" s="10"/>
      <c r="H43" s="16">
        <f>'Datos medidos'!A96*'Datos de muestra y medidos'!$C$23/'Datos de muestra y medidos'!$C$17</f>
        <v>8.0018827959519978</v>
      </c>
      <c r="I43" s="16">
        <f>('Datos de muestra y medidos'!$C$31*'Datos de muestra y medidos'!$C$23*'Datos de muestra y medidos'!$C$11*'Datos de muestra y medidos'!$C$19)/('Datos de muestra y medidos'!$C$13*'Datos medidos'!C96)</f>
        <v>1.4671262898663047</v>
      </c>
    </row>
    <row r="44" spans="1:9" ht="15.75" customHeight="1">
      <c r="E44" s="10"/>
      <c r="H44" s="16">
        <f>'Datos medidos'!A97*'Datos de muestra y medidos'!$C$23/'Datos de muestra y medidos'!$C$17</f>
        <v>8.237232289950585</v>
      </c>
      <c r="I44" s="16">
        <f>('Datos de muestra y medidos'!$C$31*'Datos de muestra y medidos'!$C$23*'Datos de muestra y medidos'!$C$11*'Datos de muestra y medidos'!$C$19)/('Datos de muestra y medidos'!$C$13*'Datos medidos'!C97)</f>
        <v>1.4654063293858051</v>
      </c>
    </row>
    <row r="45" spans="1:9" ht="15.75" customHeight="1">
      <c r="E45" s="10"/>
      <c r="H45" s="16">
        <f>'Datos medidos'!A98*'Datos de muestra y medidos'!$C$23/'Datos de muestra y medidos'!$C$17</f>
        <v>8.4725817839491739</v>
      </c>
      <c r="I45" s="16">
        <f>('Datos de muestra y medidos'!$C$31*'Datos de muestra y medidos'!$C$23*'Datos de muestra y medidos'!$C$11*'Datos de muestra y medidos'!$C$19)/('Datos de muestra y medidos'!$C$13*'Datos medidos'!C98)</f>
        <v>1.4636903969157982</v>
      </c>
    </row>
    <row r="46" spans="1:9" ht="15.75" customHeight="1">
      <c r="E46" s="10"/>
      <c r="H46" s="16">
        <f>'Datos medidos'!A99*'Datos de muestra y medidos'!$C$23/'Datos de muestra y medidos'!$C$17</f>
        <v>8.7079312779477629</v>
      </c>
      <c r="I46" s="16">
        <f>('Datos de muestra y medidos'!$C$31*'Datos de muestra y medidos'!$C$23*'Datos de muestra y medidos'!$C$11*'Datos de muestra y medidos'!$C$19)/('Datos de muestra y medidos'!$C$13*'Datos medidos'!C99)</f>
        <v>1.4619784783229142</v>
      </c>
    </row>
    <row r="47" spans="1:9" ht="15.75" customHeight="1">
      <c r="E47" s="10"/>
      <c r="H47" s="16">
        <f>'Datos medidos'!A100*'Datos de muestra y medidos'!$C$23/'Datos de muestra y medidos'!$C$17</f>
        <v>8.9432807719463501</v>
      </c>
      <c r="I47" s="16">
        <f>('Datos de muestra y medidos'!$C$31*'Datos de muestra y medidos'!$C$23*'Datos de muestra y medidos'!$C$11*'Datos de muestra y medidos'!$C$19)/('Datos de muestra y medidos'!$C$13*'Datos medidos'!C100)</f>
        <v>1.4602705595398269</v>
      </c>
    </row>
    <row r="48" spans="1:9" ht="15.75" customHeight="1">
      <c r="E48" s="10"/>
      <c r="H48" s="16">
        <f>'Datos medidos'!A101*'Datos de muestra y medidos'!$C$23/'Datos de muestra y medidos'!$C$17</f>
        <v>9.178630265944939</v>
      </c>
      <c r="I48" s="16">
        <f>('Datos de muestra y medidos'!$C$31*'Datos de muestra y medidos'!$C$23*'Datos de muestra y medidos'!$C$11*'Datos de muestra y medidos'!$C$19)/('Datos de muestra y medidos'!$C$13*'Datos medidos'!C101)</f>
        <v>1.4585666265648678</v>
      </c>
    </row>
    <row r="49" spans="5:9" ht="15.75" customHeight="1">
      <c r="E49" s="10"/>
      <c r="H49" s="16">
        <f>'Datos medidos'!A102*'Datos de muestra y medidos'!$C$23/'Datos de muestra y medidos'!$C$17</f>
        <v>9.4139797599435262</v>
      </c>
      <c r="I49" s="16">
        <f>('Datos de muestra y medidos'!$C$31*'Datos de muestra y medidos'!$C$23*'Datos de muestra y medidos'!$C$11*'Datos de muestra y medidos'!$C$19)/('Datos de muestra y medidos'!$C$13*'Datos medidos'!C102)</f>
        <v>1.4568666654616456</v>
      </c>
    </row>
    <row r="50" spans="5:9" ht="15.75" customHeight="1">
      <c r="E50" s="10"/>
      <c r="H50" s="16">
        <f>'Datos medidos'!A103*'Datos de muestra y medidos'!$C$23/'Datos de muestra y medidos'!$C$17</f>
        <v>9.6493292539421152</v>
      </c>
      <c r="I50" s="16">
        <f>('Datos de muestra y medidos'!$C$31*'Datos de muestra y medidos'!$C$23*'Datos de muestra y medidos'!$C$11*'Datos de muestra y medidos'!$C$19)/('Datos de muestra y medidos'!$C$13*'Datos medidos'!C103)</f>
        <v>1.4551706623586631</v>
      </c>
    </row>
    <row r="51" spans="5:9" ht="15.75" customHeight="1">
      <c r="E51" s="10"/>
      <c r="H51" s="16">
        <f>'Datos medidos'!A104*'Datos de muestra y medidos'!$C$23/'Datos de muestra y medidos'!$C$17</f>
        <v>9.8846787479407023</v>
      </c>
      <c r="I51" s="16">
        <f>('Datos de muestra y medidos'!$C$31*'Datos de muestra y medidos'!$C$23*'Datos de muestra y medidos'!$C$11*'Datos de muestra y medidos'!$C$19)/('Datos de muestra y medidos'!$C$13*'Datos medidos'!C104)</f>
        <v>1.4550012792062528</v>
      </c>
    </row>
    <row r="52" spans="5:9" ht="15.75" customHeight="1">
      <c r="E52" s="10"/>
      <c r="H52" s="16">
        <f>'Datos medidos'!A105*'Datos de muestra y medidos'!$C$23/'Datos de muestra y medidos'!$C$17</f>
        <v>10.120028241939291</v>
      </c>
      <c r="I52" s="16">
        <f>('Datos de muestra y medidos'!$C$31*'Datos de muestra y medidos'!$C$23*'Datos de muestra y medidos'!$C$11*'Datos de muestra y medidos'!$C$19)/('Datos de muestra y medidos'!$C$13*'Datos medidos'!C105)</f>
        <v>1.4534786034489438</v>
      </c>
    </row>
    <row r="53" spans="5:9" ht="15.75" customHeight="1">
      <c r="E53" s="10"/>
      <c r="H53" s="16">
        <f>'Datos medidos'!A106*'Datos de muestra y medidos'!$C$23/'Datos de muestra y medidos'!$C$17</f>
        <v>10.35537773593788</v>
      </c>
      <c r="I53" s="16">
        <f>('Datos de muestra y medidos'!$C$31*'Datos de muestra y medidos'!$C$23*'Datos de muestra y medidos'!$C$11*'Datos de muestra y medidos'!$C$19)/('Datos de muestra y medidos'!$C$13*'Datos medidos'!C106)</f>
        <v>1.4517904749896537</v>
      </c>
    </row>
    <row r="54" spans="5:9" ht="15.75" customHeight="1">
      <c r="E54" s="10"/>
      <c r="H54" s="16">
        <f>'Datos medidos'!A107*'Datos de muestra y medidos'!$C$23/'Datos de muestra y medidos'!$C$17</f>
        <v>10.590727229936467</v>
      </c>
      <c r="I54" s="16">
        <f>('Datos de muestra y medidos'!$C$31*'Datos de muestra y medidos'!$C$23*'Datos de muestra y medidos'!$C$11*'Datos de muestra y medidos'!$C$19)/('Datos de muestra y medidos'!$C$13*'Datos medidos'!C107)</f>
        <v>1.4501062633017303</v>
      </c>
    </row>
    <row r="55" spans="5:9" ht="15.75" customHeight="1">
      <c r="E55" s="10"/>
      <c r="H55" s="16">
        <f>'Datos medidos'!A108*'Datos de muestra y medidos'!$C$23/'Datos de muestra y medidos'!$C$17</f>
        <v>10.826076723935056</v>
      </c>
      <c r="I55" s="16">
        <f>('Datos de muestra y medidos'!$C$31*'Datos de muestra y medidos'!$C$23*'Datos de muestra y medidos'!$C$11*'Datos de muestra y medidos'!$C$19)/('Datos de muestra y medidos'!$C$13*'Datos medidos'!C108)</f>
        <v>1.4484259547695155</v>
      </c>
    </row>
    <row r="56" spans="5:9" ht="15.75" customHeight="1">
      <c r="E56" s="10"/>
      <c r="H56" s="16">
        <f>'Datos medidos'!A109*'Datos de muestra y medidos'!$C$23/'Datos de muestra y medidos'!$C$17</f>
        <v>11.061426217933644</v>
      </c>
      <c r="I56" s="16">
        <f>('Datos de muestra y medidos'!$C$31*'Datos de muestra y medidos'!$C$23*'Datos de muestra y medidos'!$C$11*'Datos de muestra y medidos'!$C$19)/('Datos de muestra y medidos'!$C$13*'Datos medidos'!C109)</f>
        <v>1.4467495358403837</v>
      </c>
    </row>
    <row r="57" spans="5:9" ht="15.75" customHeight="1">
      <c r="E57" s="10"/>
      <c r="H57" s="16">
        <f>'Datos medidos'!A110*'Datos de muestra y medidos'!$C$23/'Datos de muestra y medidos'!$C$17</f>
        <v>11.296775711932233</v>
      </c>
      <c r="I57" s="16">
        <f>('Datos de muestra y medidos'!$C$31*'Datos de muestra y medidos'!$C$23*'Datos de muestra y medidos'!$C$11*'Datos de muestra y medidos'!$C$19)/('Datos de muestra y medidos'!$C$13*'Datos medidos'!C110)</f>
        <v>1.4450769930243836</v>
      </c>
    </row>
    <row r="58" spans="5:9" ht="15.75" customHeight="1">
      <c r="E58" s="10"/>
      <c r="H58" s="16">
        <f>'Datos medidos'!A111*'Datos de muestra y medidos'!$C$23/'Datos de muestra y medidos'!$C$17</f>
        <v>11.53212520593082</v>
      </c>
      <c r="I58" s="16">
        <f>('Datos de muestra y medidos'!$C$31*'Datos de muestra y medidos'!$C$23*'Datos de muestra y medidos'!$C$11*'Datos de muestra y medidos'!$C$19)/('Datos de muestra y medidos'!$C$13*'Datos medidos'!C111)</f>
        <v>1.4434083128938704</v>
      </c>
    </row>
    <row r="59" spans="5:9" ht="15.75" customHeight="1">
      <c r="E59" s="10"/>
      <c r="H59" s="16">
        <f>'Datos medidos'!A112*'Datos de muestra y medidos'!$C$23/'Datos de muestra y medidos'!$C$17</f>
        <v>11.767474699929409</v>
      </c>
      <c r="I59" s="16">
        <f>('Datos de muestra y medidos'!$C$31*'Datos de muestra y medidos'!$C$23*'Datos de muestra y medidos'!$C$11*'Datos de muestra y medidos'!$C$19)/('Datos de muestra y medidos'!$C$13*'Datos medidos'!C112)</f>
        <v>1.443241656813407</v>
      </c>
    </row>
    <row r="60" spans="5:9" ht="15.75" customHeight="1">
      <c r="E60" s="10"/>
      <c r="H60" s="16">
        <f>'Datos medidos'!A113*'Datos de muestra y medidos'!$C$23/'Datos de muestra y medidos'!$C$17</f>
        <v>12.002824193927996</v>
      </c>
      <c r="I60" s="16">
        <f>('Datos de muestra y medidos'!$C$31*'Datos de muestra y medidos'!$C$23*'Datos de muestra y medidos'!$C$11*'Datos de muestra y medidos'!$C$19)/('Datos de muestra y medidos'!$C$13*'Datos medidos'!C113)</f>
        <v>1.4417434820831507</v>
      </c>
    </row>
    <row r="61" spans="5:9" ht="15.75" customHeight="1">
      <c r="E61" s="10"/>
      <c r="H61" s="16">
        <f>'Datos medidos'!A114*'Datos de muestra y medidos'!$C$23/'Datos de muestra y medidos'!$C$17</f>
        <v>12.238173687926585</v>
      </c>
      <c r="I61" s="16">
        <f>('Datos de muestra y medidos'!$C$31*'Datos de muestra y medidos'!$C$23*'Datos de muestra y medidos'!$C$11*'Datos de muestra y medidos'!$C$19)/('Datos de muestra y medidos'!$C$13*'Datos medidos'!C114)</f>
        <v>1.441577210201928</v>
      </c>
    </row>
    <row r="62" spans="5:9" ht="15.75" customHeight="1">
      <c r="E62" s="10"/>
      <c r="H62" s="16">
        <f>'Datos medidos'!A115*'Datos de muestra y medidos'!$C$23/'Datos de muestra y medidos'!$C$17</f>
        <v>12.473523181925174</v>
      </c>
      <c r="I62" s="16">
        <f>('Datos de muestra y medidos'!$C$31*'Datos de muestra y medidos'!$C$23*'Datos de muestra y medidos'!$C$11*'Datos de muestra y medidos'!$C$19)/('Datos de muestra y medidos'!$C$13*'Datos medidos'!C115)</f>
        <v>1.4400824872881242</v>
      </c>
    </row>
    <row r="63" spans="5:9" ht="15.75" customHeight="1">
      <c r="E63" s="10"/>
      <c r="H63" s="16">
        <f>'Datos medidos'!A116*'Datos de muestra y medidos'!$C$23/'Datos de muestra y medidos'!$C$17</f>
        <v>12.708872675923761</v>
      </c>
      <c r="I63" s="16">
        <f>('Datos de muestra y medidos'!$C$31*'Datos de muestra y medidos'!$C$23*'Datos de muestra y medidos'!$C$11*'Datos de muestra y medidos'!$C$19)/('Datos de muestra y medidos'!$C$13*'Datos medidos'!C116)</f>
        <v>1.4384253152659281</v>
      </c>
    </row>
    <row r="64" spans="5:9" ht="15.75" customHeight="1">
      <c r="E64" s="10"/>
      <c r="H64" s="16">
        <f>'Datos medidos'!A117*'Datos de muestra y medidos'!$C$23/'Datos de muestra y medidos'!$C$17</f>
        <v>12.94422216992235</v>
      </c>
      <c r="I64" s="16">
        <f>('Datos de muestra y medidos'!$C$31*'Datos de muestra y medidos'!$C$23*'Datos de muestra y medidos'!$C$11*'Datos de muestra y medidos'!$C$19)/('Datos de muestra y medidos'!$C$13*'Datos medidos'!C117)</f>
        <v>1.4367719528345881</v>
      </c>
    </row>
    <row r="65" spans="5:9" ht="15.75" customHeight="1">
      <c r="E65" s="10"/>
      <c r="H65" s="16">
        <f>'Datos medidos'!A118*'Datos de muestra y medidos'!$C$23/'Datos de muestra y medidos'!$C$17</f>
        <v>13.179571663920937</v>
      </c>
      <c r="I65" s="16">
        <f>('Datos de muestra y medidos'!$C$31*'Datos de muestra y medidos'!$C$23*'Datos de muestra y medidos'!$C$11*'Datos de muestra y medidos'!$C$19)/('Datos de muestra y medidos'!$C$13*'Datos medidos'!C118)</f>
        <v>1.4351223868726657</v>
      </c>
    </row>
    <row r="66" spans="5:9" ht="15.75" customHeight="1">
      <c r="E66" s="10"/>
      <c r="H66" s="16">
        <f>'Datos medidos'!A119*'Datos de muestra y medidos'!$C$23/'Datos de muestra y medidos'!$C$17</f>
        <v>13.414921157919526</v>
      </c>
      <c r="I66" s="16">
        <f>('Datos de muestra y medidos'!$C$31*'Datos de muestra y medidos'!$C$23*'Datos de muestra y medidos'!$C$11*'Datos de muestra y medidos'!$C$19)/('Datos de muestra y medidos'!$C$13*'Datos medidos'!C119)</f>
        <v>1.4349576385789138</v>
      </c>
    </row>
    <row r="67" spans="5:9" ht="15.75" customHeight="1">
      <c r="E67" s="10"/>
      <c r="H67" s="16">
        <f>'Datos medidos'!A120*'Datos de muestra y medidos'!$C$23/'Datos de muestra y medidos'!$C$17</f>
        <v>13.650270651918113</v>
      </c>
      <c r="I67" s="16">
        <f>('Datos de muestra y medidos'!$C$31*'Datos de muestra y medidos'!$C$23*'Datos de muestra y medidos'!$C$11*'Datos de muestra y medidos'!$C$19)/('Datos de muestra y medidos'!$C$13*'Datos medidos'!C120)</f>
        <v>1.4347929281061658</v>
      </c>
    </row>
    <row r="68" spans="5:9" ht="15.75" customHeight="1">
      <c r="E68" s="10"/>
      <c r="H68" s="16">
        <f>'Datos medidos'!A121*'Datos de muestra y medidos'!$C$23/'Datos de muestra y medidos'!$C$17</f>
        <v>13.885620145916702</v>
      </c>
      <c r="I68" s="16">
        <f>('Datos de muestra y medidos'!$C$31*'Datos de muestra y medidos'!$C$23*'Datos de muestra y medidos'!$C$11*'Datos de muestra y medidos'!$C$19)/('Datos de muestra y medidos'!$C$13*'Datos medidos'!C121)</f>
        <v>1.4334766043189124</v>
      </c>
    </row>
    <row r="69" spans="5:9" ht="15.75" customHeight="1">
      <c r="E69" s="10"/>
      <c r="H69" s="16">
        <f>'Datos medidos'!A122*'Datos de muestra y medidos'!$C$23/'Datos de muestra y medidos'!$C$17</f>
        <v>14.120969639915289</v>
      </c>
      <c r="I69" s="16">
        <f>('Datos de muestra y medidos'!$C$31*'Datos de muestra y medidos'!$C$23*'Datos de muestra y medidos'!$C$11*'Datos de muestra y medidos'!$C$19)/('Datos de muestra y medidos'!$C$13*'Datos medidos'!C122)</f>
        <v>1.433312233649916</v>
      </c>
    </row>
    <row r="70" spans="5:9" ht="15.75" customHeight="1">
      <c r="E70" s="10"/>
      <c r="H70" s="16">
        <f>'Datos medidos'!A123*'Datos de muestra y medidos'!$C$23/'Datos de muestra y medidos'!$C$17</f>
        <v>14.356319133913878</v>
      </c>
      <c r="I70" s="16">
        <f>('Datos de muestra y medidos'!$C$31*'Datos de muestra y medidos'!$C$23*'Datos de muestra y medidos'!$C$11*'Datos de muestra y medidos'!$C$19)/('Datos de muestra y medidos'!$C$13*'Datos medidos'!C123)</f>
        <v>1.4334766043189124</v>
      </c>
    </row>
    <row r="71" spans="5:9" ht="15.75" customHeight="1">
      <c r="E71" s="10"/>
      <c r="H71" s="16">
        <f>'Datos medidos'!A124*'Datos de muestra y medidos'!$C$23/'Datos de muestra y medidos'!$C$17</f>
        <v>14.591668627912467</v>
      </c>
      <c r="I71" s="16">
        <f>('Datos de muestra y medidos'!$C$31*'Datos de muestra y medidos'!$C$23*'Datos de muestra y medidos'!$C$11*'Datos de muestra y medidos'!$C$19)/('Datos de muestra y medidos'!$C$13*'Datos medidos'!C124)</f>
        <v>1.4318345921719264</v>
      </c>
    </row>
    <row r="72" spans="5:9" ht="15.75" customHeight="1">
      <c r="E72" s="10"/>
      <c r="H72" s="16">
        <f>'Datos medidos'!A125*'Datos de muestra y medidos'!$C$23/'Datos de muestra y medidos'!$C$17</f>
        <v>14.827018121911054</v>
      </c>
      <c r="I72" s="16">
        <f>('Datos de muestra y medidos'!$C$31*'Datos de muestra y medidos'!$C$23*'Datos de muestra y medidos'!$C$11*'Datos de muestra y medidos'!$C$19)/('Datos de muestra y medidos'!$C$13*'Datos medidos'!C125)</f>
        <v>1.4316705978308233</v>
      </c>
    </row>
    <row r="73" spans="5:9" ht="15.75" customHeight="1">
      <c r="E73" s="10"/>
      <c r="H73" s="16">
        <f>'Datos medidos'!A126*'Datos de muestra y medidos'!$C$23/'Datos de muestra y medidos'!$C$17</f>
        <v>15.062367615909643</v>
      </c>
      <c r="I73" s="16">
        <f>('Datos de muestra y medidos'!$C$31*'Datos de muestra y medidos'!$C$23*'Datos de muestra y medidos'!$C$11*'Datos de muestra y medidos'!$C$19)/('Datos de muestra y medidos'!$C$13*'Datos medidos'!C126)</f>
        <v>1.4301963374898075</v>
      </c>
    </row>
    <row r="74" spans="5:9" ht="15.75" customHeight="1">
      <c r="E74" s="10"/>
      <c r="H74" s="16">
        <f>'Datos medidos'!A127*'Datos de muestra y medidos'!$C$23/'Datos de muestra y medidos'!$C$17</f>
        <v>15.297717109908231</v>
      </c>
      <c r="I74" s="16">
        <f>('Datos de muestra y medidos'!$C$31*'Datos de muestra y medidos'!$C$23*'Datos de muestra y medidos'!$C$11*'Datos de muestra y medidos'!$C$19)/('Datos de muestra y medidos'!$C$13*'Datos medidos'!C127)</f>
        <v>1.4300327181856674</v>
      </c>
    </row>
    <row r="75" spans="5:9" ht="15.75" customHeight="1">
      <c r="E75" s="10"/>
      <c r="H75" s="16">
        <f>'Datos medidos'!A128*'Datos de muestra y medidos'!$C$23/'Datos de muestra y medidos'!$C$17</f>
        <v>15.533066603906819</v>
      </c>
      <c r="I75" s="16">
        <f>('Datos de muestra y medidos'!$C$31*'Datos de muestra y medidos'!$C$23*'Datos de muestra y medidos'!$C$11*'Datos de muestra y medidos'!$C$19)/('Datos de muestra y medidos'!$C$13*'Datos medidos'!C128)</f>
        <v>1.4301963374898075</v>
      </c>
    </row>
    <row r="76" spans="5:9" ht="15.75" customHeight="1">
      <c r="E76" s="10"/>
      <c r="H76" s="16">
        <f>'Datos medidos'!A129*'Datos de muestra y medidos'!$C$23/'Datos de muestra y medidos'!$C$17</f>
        <v>15.768416097905407</v>
      </c>
      <c r="I76" s="16">
        <f>('Datos de muestra y medidos'!$C$31*'Datos de muestra y medidos'!$C$23*'Datos de muestra y medidos'!$C$11*'Datos de muestra y medidos'!$C$19)/('Datos de muestra y medidos'!$C$13*'Datos medidos'!C129)</f>
        <v>1.4285618273898191</v>
      </c>
    </row>
    <row r="77" spans="5:9" ht="15.75" customHeight="1">
      <c r="E77" s="10"/>
    </row>
    <row r="78" spans="5:9" ht="15.75" customHeight="1">
      <c r="E78" s="10"/>
      <c r="I78" s="28">
        <f>AVERAGE(I8:I76)</f>
        <v>2.1355668536235419</v>
      </c>
    </row>
    <row r="79" spans="5:9" ht="15.75" customHeight="1">
      <c r="E79" s="10"/>
      <c r="I79" s="28">
        <f>_xlfn.STDEV.S(I8:I76)</f>
        <v>1.9522046143450951</v>
      </c>
    </row>
    <row r="80" spans="5:9" ht="15.75" customHeight="1">
      <c r="E80" s="10"/>
    </row>
    <row r="81" spans="5:9" ht="15.75" customHeight="1">
      <c r="E81" s="10"/>
      <c r="I81" s="29">
        <f>AVERAGE('Datos medidos'!C62:C129)</f>
        <v>76.160147058823526</v>
      </c>
    </row>
    <row r="82" spans="5:9" ht="15.75" customHeight="1">
      <c r="E82" s="10"/>
    </row>
    <row r="83" spans="5:9" ht="15.75" customHeight="1">
      <c r="E83" s="10"/>
    </row>
    <row r="84" spans="5:9" ht="15.75" customHeight="1">
      <c r="E84" s="10"/>
    </row>
    <row r="85" spans="5:9" ht="15.75" customHeight="1">
      <c r="E85" s="10"/>
    </row>
    <row r="86" spans="5:9" ht="15.75" customHeight="1">
      <c r="E86" s="10"/>
    </row>
    <row r="87" spans="5:9" ht="15.75" customHeight="1">
      <c r="E87" s="10"/>
    </row>
    <row r="88" spans="5:9" ht="15.75" customHeight="1">
      <c r="E88" s="10"/>
    </row>
    <row r="89" spans="5:9" ht="15.75" customHeight="1">
      <c r="E89" s="10"/>
    </row>
    <row r="90" spans="5:9" ht="15.75" customHeight="1">
      <c r="E90" s="10"/>
    </row>
    <row r="91" spans="5:9" ht="15.75" customHeight="1">
      <c r="E91" s="10"/>
    </row>
    <row r="92" spans="5:9" ht="15.75" customHeight="1">
      <c r="E92" s="10"/>
    </row>
    <row r="93" spans="5:9" ht="15.75" customHeight="1">
      <c r="E93" s="10"/>
    </row>
    <row r="94" spans="5:9" ht="15.75" customHeight="1">
      <c r="E94" s="10"/>
    </row>
    <row r="95" spans="5:9" ht="15.75" customHeight="1">
      <c r="E95" s="10"/>
    </row>
    <row r="96" spans="5:9" ht="15.75" customHeight="1">
      <c r="E96" s="10"/>
    </row>
    <row r="97" spans="5:5" ht="15.75" customHeight="1">
      <c r="E97" s="10"/>
    </row>
    <row r="98" spans="5:5" ht="15.75" customHeight="1">
      <c r="E98" s="10"/>
    </row>
    <row r="99" spans="5:5" ht="15.75" customHeight="1">
      <c r="E99" s="10"/>
    </row>
    <row r="100" spans="5:5" ht="15.75" customHeight="1">
      <c r="E100" s="10"/>
    </row>
    <row r="101" spans="5:5" ht="15.75" customHeight="1">
      <c r="E101" s="10"/>
    </row>
    <row r="102" spans="5:5" ht="15.75" customHeight="1">
      <c r="E102" s="10"/>
    </row>
    <row r="103" spans="5:5" ht="15.75" customHeight="1">
      <c r="E103" s="10"/>
    </row>
    <row r="104" spans="5:5" ht="15.75" customHeight="1">
      <c r="E104" s="10"/>
    </row>
    <row r="105" spans="5:5" ht="15.75" customHeight="1">
      <c r="E105" s="10"/>
    </row>
    <row r="106" spans="5:5" ht="15.75" customHeight="1">
      <c r="E106" s="10"/>
    </row>
    <row r="107" spans="5:5" ht="15.75" customHeight="1">
      <c r="E107" s="10"/>
    </row>
    <row r="108" spans="5:5" ht="15.75" customHeight="1">
      <c r="E108" s="10"/>
    </row>
    <row r="109" spans="5:5" ht="15.75" customHeight="1">
      <c r="E109" s="10"/>
    </row>
    <row r="110" spans="5:5" ht="15.75" customHeight="1">
      <c r="E110" s="10"/>
    </row>
    <row r="111" spans="5:5" ht="15.75" customHeight="1">
      <c r="E111" s="10"/>
    </row>
    <row r="112" spans="5:5" ht="15.75" customHeight="1">
      <c r="E112" s="10"/>
    </row>
    <row r="113" spans="5:5" ht="15.75" customHeight="1">
      <c r="E113" s="10"/>
    </row>
    <row r="114" spans="5:5" ht="15.75" customHeight="1">
      <c r="E114" s="10"/>
    </row>
    <row r="115" spans="5:5" ht="15.75" customHeight="1">
      <c r="E115" s="10"/>
    </row>
    <row r="116" spans="5:5" ht="15.75" customHeight="1">
      <c r="E116" s="10"/>
    </row>
    <row r="117" spans="5:5" ht="15.75" customHeight="1">
      <c r="E117" s="10"/>
    </row>
    <row r="118" spans="5:5" ht="15.75" customHeight="1">
      <c r="E118" s="10"/>
    </row>
    <row r="119" spans="5:5" ht="15.75" customHeight="1">
      <c r="E119" s="10"/>
    </row>
    <row r="120" spans="5:5" ht="15.75" customHeight="1">
      <c r="E120" s="10"/>
    </row>
    <row r="121" spans="5:5" ht="15.75" customHeight="1">
      <c r="E121" s="10"/>
    </row>
    <row r="122" spans="5:5" ht="15.75" customHeight="1">
      <c r="E122" s="10"/>
    </row>
    <row r="123" spans="5:5" ht="15.75" customHeight="1">
      <c r="E123" s="10"/>
    </row>
    <row r="124" spans="5:5" ht="15.75" customHeight="1">
      <c r="E124" s="10"/>
    </row>
    <row r="125" spans="5:5" ht="15.75" customHeight="1">
      <c r="E125" s="10"/>
    </row>
    <row r="126" spans="5:5" ht="15.75" customHeight="1">
      <c r="E126" s="10"/>
    </row>
    <row r="127" spans="5:5" ht="15.75" customHeight="1">
      <c r="E127" s="10"/>
    </row>
    <row r="128" spans="5:5" ht="15.75" customHeight="1">
      <c r="E128" s="10"/>
    </row>
    <row r="129" spans="4:5" ht="15.75" customHeight="1">
      <c r="E129" s="10"/>
    </row>
    <row r="130" spans="4:5" ht="15.75" customHeight="1">
      <c r="E130" s="10"/>
    </row>
    <row r="131" spans="4:5" ht="15.75" customHeight="1">
      <c r="E131" s="10"/>
    </row>
    <row r="132" spans="4:5" ht="15.75" customHeight="1">
      <c r="E132" s="10"/>
    </row>
    <row r="133" spans="4:5" ht="15.75" customHeight="1">
      <c r="E133" s="10"/>
    </row>
    <row r="134" spans="4:5" ht="15.75" customHeight="1">
      <c r="E134" s="10"/>
    </row>
    <row r="135" spans="4:5" ht="15.75" customHeight="1">
      <c r="E135" s="10"/>
    </row>
    <row r="136" spans="4:5" ht="15.75" customHeight="1"/>
    <row r="137" spans="4:5" ht="15.75" customHeight="1">
      <c r="D137" s="6"/>
    </row>
    <row r="138" spans="4:5" ht="15.75" customHeight="1">
      <c r="D138" s="6"/>
    </row>
    <row r="139" spans="4:5" ht="15.75" customHeight="1"/>
    <row r="140" spans="4:5" ht="15.75" customHeight="1"/>
    <row r="141" spans="4:5" ht="15.75" customHeight="1"/>
    <row r="142" spans="4:5" ht="15.75" customHeight="1"/>
    <row r="143" spans="4:5" ht="15.75" customHeight="1"/>
    <row r="144" spans="4:5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sheetProtection algorithmName="SHA-512" hashValue="l40nFMsfsyx/zhQotFkGwSzYEaAEFfkHT4QL/TtsDAubOTCix85udE+iR4kU2AddpS3vduWTIbX8rmyEs/6jcA==" saltValue="uTH/zYVSog7YvM0NTMpV0Q==" spinCount="100000" sheet="1" objects="1" scenarios="1"/>
  <mergeCells count="7">
    <mergeCell ref="L6:N6"/>
    <mergeCell ref="P6:R6"/>
    <mergeCell ref="T6:V6"/>
    <mergeCell ref="B2:I4"/>
    <mergeCell ref="B6:C6"/>
    <mergeCell ref="E6:F6"/>
    <mergeCell ref="H6:I6"/>
  </mergeCells>
  <pageMargins left="0.7" right="0.7" top="0.75" bottom="0.75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T985"/>
  <sheetViews>
    <sheetView showGridLines="0" workbookViewId="0">
      <selection activeCell="F36" sqref="F36"/>
    </sheetView>
  </sheetViews>
  <sheetFormatPr baseColWidth="10" defaultColWidth="14.5" defaultRowHeight="15" customHeight="1"/>
  <cols>
    <col min="1" max="1" width="11.5" style="57" customWidth="1"/>
    <col min="2" max="2" width="10" style="57" customWidth="1"/>
    <col min="3" max="3" width="14.6640625" style="57" customWidth="1"/>
    <col min="4" max="21" width="11.5" style="57" customWidth="1"/>
    <col min="22" max="16384" width="14.5" style="57"/>
  </cols>
  <sheetData>
    <row r="3" spans="1:20" ht="15" customHeight="1">
      <c r="C3" s="181" t="s">
        <v>117</v>
      </c>
      <c r="D3" s="200"/>
      <c r="E3" s="200"/>
      <c r="F3" s="200"/>
      <c r="G3" s="200"/>
      <c r="H3" s="200"/>
      <c r="I3" s="200"/>
    </row>
    <row r="4" spans="1:20" ht="15" customHeight="1">
      <c r="C4" s="201"/>
      <c r="D4" s="202"/>
      <c r="E4" s="202"/>
      <c r="F4" s="202"/>
      <c r="G4" s="202"/>
      <c r="H4" s="202"/>
      <c r="I4" s="202"/>
    </row>
    <row r="5" spans="1:20" ht="28.5" customHeight="1">
      <c r="C5" s="203"/>
      <c r="D5" s="204"/>
      <c r="E5" s="204"/>
      <c r="F5" s="204"/>
      <c r="G5" s="204"/>
      <c r="H5" s="204"/>
      <c r="I5" s="204"/>
    </row>
    <row r="7" spans="1:20" ht="2.25" customHeight="1"/>
    <row r="8" spans="1:20" s="123" customFormat="1" ht="18">
      <c r="A8" s="213"/>
      <c r="B8" s="213"/>
      <c r="C8" s="124"/>
      <c r="D8" s="125"/>
      <c r="E8" s="125"/>
      <c r="F8" s="125"/>
      <c r="G8" s="125"/>
      <c r="H8" s="125"/>
      <c r="I8" s="125"/>
    </row>
    <row r="9" spans="1:20" s="123" customFormat="1" ht="18">
      <c r="A9" s="205" t="s">
        <v>24</v>
      </c>
      <c r="B9" s="206"/>
      <c r="C9" s="126">
        <v>1</v>
      </c>
      <c r="D9" s="126">
        <v>2</v>
      </c>
      <c r="E9" s="126">
        <f t="shared" ref="E9:I9" si="0">D9+1</f>
        <v>3</v>
      </c>
      <c r="F9" s="126">
        <f t="shared" si="0"/>
        <v>4</v>
      </c>
      <c r="G9" s="126">
        <f t="shared" si="0"/>
        <v>5</v>
      </c>
      <c r="H9" s="126">
        <f t="shared" si="0"/>
        <v>6</v>
      </c>
      <c r="I9" s="126">
        <f t="shared" si="0"/>
        <v>7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</row>
    <row r="10" spans="1:20" ht="15.75" customHeight="1">
      <c r="A10" s="207" t="s">
        <v>124</v>
      </c>
      <c r="B10" s="208"/>
      <c r="C10" s="77"/>
      <c r="D10" s="77"/>
      <c r="E10" s="77"/>
      <c r="F10" s="77"/>
      <c r="G10" s="77"/>
      <c r="H10" s="77"/>
      <c r="I10" s="78">
        <f>'Datos medidos'!C91</f>
        <v>84.5</v>
      </c>
    </row>
    <row r="11" spans="1:20" ht="15.75" customHeight="1">
      <c r="A11" s="207"/>
      <c r="B11" s="208"/>
      <c r="C11" s="77"/>
      <c r="D11" s="77"/>
      <c r="E11" s="77"/>
      <c r="F11" s="77"/>
      <c r="G11" s="77"/>
      <c r="H11" s="77"/>
      <c r="I11" s="76">
        <f>'Datos medidos'!C92</f>
        <v>84.7</v>
      </c>
    </row>
    <row r="12" spans="1:20" ht="15.75" customHeight="1">
      <c r="A12" s="207"/>
      <c r="B12" s="208"/>
      <c r="C12" s="77"/>
      <c r="D12" s="77"/>
      <c r="E12" s="77"/>
      <c r="F12" s="77"/>
      <c r="G12" s="77"/>
      <c r="H12" s="77"/>
      <c r="I12" s="76">
        <f>'Datos medidos'!C93</f>
        <v>84.8</v>
      </c>
    </row>
    <row r="13" spans="1:20" ht="15.75" customHeight="1">
      <c r="A13" s="207"/>
      <c r="B13" s="208"/>
      <c r="C13" s="77"/>
      <c r="D13" s="77"/>
      <c r="E13" s="77"/>
      <c r="F13" s="77"/>
      <c r="G13" s="77"/>
      <c r="H13" s="77"/>
      <c r="I13" s="76">
        <f>'Datos medidos'!C94</f>
        <v>85</v>
      </c>
    </row>
    <row r="14" spans="1:20" ht="15.75" customHeight="1">
      <c r="A14" s="207"/>
      <c r="B14" s="208"/>
      <c r="C14" s="77"/>
      <c r="D14" s="77"/>
      <c r="E14" s="77"/>
      <c r="F14" s="77"/>
      <c r="G14" s="77"/>
      <c r="H14" s="77"/>
      <c r="I14" s="76">
        <f>'Datos medidos'!C95</f>
        <v>85.1</v>
      </c>
    </row>
    <row r="15" spans="1:20" ht="15.75" customHeight="1">
      <c r="A15" s="207"/>
      <c r="B15" s="208"/>
      <c r="C15" s="77"/>
      <c r="D15" s="77"/>
      <c r="E15" s="77"/>
      <c r="F15" s="77"/>
      <c r="G15" s="77"/>
      <c r="H15" s="77"/>
      <c r="I15" s="76">
        <f>'Datos medidos'!C96</f>
        <v>85.2</v>
      </c>
    </row>
    <row r="16" spans="1:20" ht="15.75" customHeight="1">
      <c r="A16" s="207"/>
      <c r="B16" s="208"/>
      <c r="C16" s="77"/>
      <c r="D16" s="77"/>
      <c r="E16" s="77"/>
      <c r="F16" s="77"/>
      <c r="G16" s="77"/>
      <c r="H16" s="77"/>
      <c r="I16" s="76">
        <f>'Datos medidos'!C97</f>
        <v>85.3</v>
      </c>
    </row>
    <row r="17" spans="1:10" ht="15.75" customHeight="1">
      <c r="A17" s="207"/>
      <c r="B17" s="208"/>
      <c r="C17" s="77"/>
      <c r="D17" s="77"/>
      <c r="E17" s="77"/>
      <c r="F17" s="77"/>
      <c r="G17" s="77"/>
      <c r="H17" s="77"/>
      <c r="I17" s="76">
        <f>'Datos medidos'!C98</f>
        <v>85.4</v>
      </c>
    </row>
    <row r="18" spans="1:10" ht="15.75" customHeight="1">
      <c r="A18" s="207"/>
      <c r="B18" s="208"/>
      <c r="C18" s="77"/>
      <c r="D18" s="77"/>
      <c r="E18" s="77"/>
      <c r="F18" s="77"/>
      <c r="G18" s="77"/>
      <c r="H18" s="77"/>
      <c r="I18" s="76">
        <f>'Datos medidos'!C99</f>
        <v>85.5</v>
      </c>
    </row>
    <row r="19" spans="1:10" ht="15.75" customHeight="1">
      <c r="A19" s="207"/>
      <c r="B19" s="208"/>
      <c r="C19" s="77"/>
      <c r="D19" s="77"/>
      <c r="E19" s="77"/>
      <c r="F19" s="77"/>
      <c r="G19" s="77"/>
      <c r="H19" s="77"/>
      <c r="I19" s="76">
        <f>'Datos medidos'!C100</f>
        <v>85.6</v>
      </c>
    </row>
    <row r="20" spans="1:10" ht="15.75" customHeight="1">
      <c r="A20" s="207"/>
      <c r="B20" s="208"/>
      <c r="C20" s="77"/>
      <c r="D20" s="77"/>
      <c r="E20" s="77"/>
      <c r="F20" s="77"/>
      <c r="G20" s="77"/>
      <c r="H20" s="77"/>
      <c r="I20" s="76">
        <f>'Datos medidos'!C101</f>
        <v>85.7</v>
      </c>
    </row>
    <row r="21" spans="1:10" ht="15.75" customHeight="1">
      <c r="A21" s="207"/>
      <c r="B21" s="208"/>
      <c r="C21" s="77"/>
      <c r="D21" s="77"/>
      <c r="E21" s="77"/>
      <c r="F21" s="76"/>
      <c r="G21" s="77"/>
      <c r="H21" s="76">
        <f>'Datos medidos'!C86</f>
        <v>83.6</v>
      </c>
      <c r="I21" s="76">
        <f>'Datos medidos'!C102</f>
        <v>85.8</v>
      </c>
    </row>
    <row r="22" spans="1:10" ht="15.75" customHeight="1">
      <c r="A22" s="207"/>
      <c r="B22" s="208"/>
      <c r="C22" s="76">
        <f>'Datos medidos'!C69</f>
        <v>39.5</v>
      </c>
      <c r="D22" s="77"/>
      <c r="E22" s="63"/>
      <c r="F22" s="76">
        <f>'Datos medidos'!C78</f>
        <v>81</v>
      </c>
      <c r="G22" s="76">
        <f>'Datos medidos'!C82</f>
        <v>82.7</v>
      </c>
      <c r="H22" s="76">
        <f>'Datos medidos'!C87</f>
        <v>83.8</v>
      </c>
      <c r="I22" s="76">
        <f>'Datos medidos'!C103</f>
        <v>85.9</v>
      </c>
    </row>
    <row r="23" spans="1:10" ht="15.75" customHeight="1">
      <c r="A23" s="207"/>
      <c r="B23" s="208"/>
      <c r="C23" s="76">
        <f>'Datos medidos'!C70</f>
        <v>48.3</v>
      </c>
      <c r="D23" s="77"/>
      <c r="E23" s="76">
        <f>'Datos medidos'!C75</f>
        <v>78.599999999999994</v>
      </c>
      <c r="F23" s="76">
        <f>'Datos medidos'!C79</f>
        <v>81.599999999999994</v>
      </c>
      <c r="G23" s="76">
        <f>'Datos medidos'!C83</f>
        <v>83</v>
      </c>
      <c r="H23" s="76">
        <f>'Datos medidos'!C88</f>
        <v>84</v>
      </c>
      <c r="I23" s="76">
        <f>'Datos medidos'!C104</f>
        <v>85.91</v>
      </c>
    </row>
    <row r="24" spans="1:10" ht="15.75" customHeight="1">
      <c r="A24" s="207"/>
      <c r="B24" s="208"/>
      <c r="C24" s="81">
        <f>'Datos medidos'!C71</f>
        <v>56.7</v>
      </c>
      <c r="D24" s="76">
        <f>'Datos medidos'!C73</f>
        <v>73.3</v>
      </c>
      <c r="E24" s="76">
        <f>'Datos medidos'!C76</f>
        <v>79.5</v>
      </c>
      <c r="F24" s="76">
        <f>'Datos medidos'!C80</f>
        <v>82.1</v>
      </c>
      <c r="G24" s="76">
        <f>'Datos medidos'!C84</f>
        <v>83.2</v>
      </c>
      <c r="H24" s="76">
        <f>'Datos medidos'!C89</f>
        <v>84.2</v>
      </c>
      <c r="I24" s="76">
        <f>'Datos medidos'!C105</f>
        <v>86</v>
      </c>
    </row>
    <row r="25" spans="1:10" ht="15.75" customHeight="1">
      <c r="A25" s="207"/>
      <c r="B25" s="208"/>
      <c r="C25" s="81">
        <f>'Datos medidos'!C72</f>
        <v>65.8</v>
      </c>
      <c r="D25" s="82">
        <f>'Datos medidos'!C74</f>
        <v>77.099999999999994</v>
      </c>
      <c r="E25" s="76">
        <f>'Datos medidos'!C77</f>
        <v>80.3</v>
      </c>
      <c r="F25" s="76">
        <f>'Datos medidos'!C81</f>
        <v>82.4</v>
      </c>
      <c r="G25" s="76">
        <f>'Datos medidos'!C85</f>
        <v>83.4</v>
      </c>
      <c r="H25" s="76">
        <f>'Datos medidos'!C90</f>
        <v>84.3</v>
      </c>
      <c r="I25" s="76">
        <f>'Datos medidos'!C106</f>
        <v>86.1</v>
      </c>
    </row>
    <row r="26" spans="1:10" s="63" customFormat="1" ht="15.75" customHeight="1">
      <c r="A26" s="209" t="s">
        <v>125</v>
      </c>
      <c r="B26" s="210"/>
      <c r="C26" s="79">
        <f t="shared" ref="C26:I26" si="1">AVERAGE(C10:C25)</f>
        <v>52.575000000000003</v>
      </c>
      <c r="D26" s="79">
        <f t="shared" si="1"/>
        <v>75.199999999999989</v>
      </c>
      <c r="E26" s="79">
        <f t="shared" si="1"/>
        <v>79.466666666666654</v>
      </c>
      <c r="F26" s="79">
        <f t="shared" si="1"/>
        <v>81.775000000000006</v>
      </c>
      <c r="G26" s="79">
        <f t="shared" si="1"/>
        <v>83.074999999999989</v>
      </c>
      <c r="H26" s="79">
        <f t="shared" si="1"/>
        <v>83.97999999999999</v>
      </c>
      <c r="I26" s="79">
        <f t="shared" si="1"/>
        <v>85.406874999999999</v>
      </c>
      <c r="J26" s="83"/>
    </row>
    <row r="27" spans="1:10" s="63" customFormat="1" ht="15.75" customHeight="1">
      <c r="A27" s="212" t="s">
        <v>81</v>
      </c>
      <c r="B27" s="210"/>
      <c r="C27" s="80">
        <v>0</v>
      </c>
      <c r="D27" s="113">
        <v>0.01</v>
      </c>
      <c r="E27" s="80">
        <v>4.0999999999999996</v>
      </c>
      <c r="F27" s="80">
        <v>4.5999999999999996</v>
      </c>
      <c r="G27" s="80">
        <v>4.7</v>
      </c>
      <c r="H27" s="80">
        <v>5.2</v>
      </c>
      <c r="I27" s="80">
        <v>20</v>
      </c>
    </row>
    <row r="28" spans="1:10" s="63" customFormat="1" ht="15.75" customHeight="1">
      <c r="A28" s="212" t="s">
        <v>82</v>
      </c>
      <c r="B28" s="210"/>
      <c r="C28" s="80">
        <f>4.4-'Datos de muestra y medidos'!C25</f>
        <v>3.9000000000000004</v>
      </c>
      <c r="D28" s="80">
        <v>1.8</v>
      </c>
      <c r="E28" s="80">
        <v>0.33</v>
      </c>
      <c r="F28" s="80">
        <v>0.15</v>
      </c>
      <c r="G28" s="80">
        <v>0.1</v>
      </c>
      <c r="H28" s="80">
        <v>0.01</v>
      </c>
      <c r="I28" s="80">
        <v>0.01</v>
      </c>
    </row>
    <row r="29" spans="1:10" s="63" customFormat="1" ht="15.75" customHeight="1">
      <c r="A29" s="212" t="s">
        <v>80</v>
      </c>
      <c r="B29" s="210"/>
      <c r="C29" s="80">
        <f t="shared" ref="C29:I29" si="2">C27+C28</f>
        <v>3.9000000000000004</v>
      </c>
      <c r="D29" s="80">
        <f t="shared" si="2"/>
        <v>1.81</v>
      </c>
      <c r="E29" s="80">
        <f t="shared" si="2"/>
        <v>4.43</v>
      </c>
      <c r="F29" s="80">
        <f t="shared" si="2"/>
        <v>4.75</v>
      </c>
      <c r="G29" s="80">
        <f t="shared" si="2"/>
        <v>4.8</v>
      </c>
      <c r="H29" s="80">
        <f t="shared" si="2"/>
        <v>5.21</v>
      </c>
      <c r="I29" s="80">
        <f t="shared" si="2"/>
        <v>20.010000000000002</v>
      </c>
    </row>
    <row r="30" spans="1:10" s="63" customFormat="1" ht="15.75" customHeight="1"/>
    <row r="31" spans="1:10" s="63" customFormat="1" ht="16.5" customHeight="1">
      <c r="B31" s="127"/>
      <c r="C31" s="127"/>
      <c r="D31" s="127"/>
      <c r="E31" s="127"/>
      <c r="F31" s="128"/>
      <c r="G31" s="128"/>
    </row>
    <row r="32" spans="1:10" s="63" customFormat="1" ht="15.75" customHeight="1">
      <c r="B32" s="211" t="s">
        <v>126</v>
      </c>
      <c r="C32" s="211"/>
      <c r="D32" s="211"/>
      <c r="E32" s="211"/>
      <c r="F32" s="211"/>
      <c r="G32" s="211"/>
      <c r="H32" s="211"/>
      <c r="I32" s="211"/>
    </row>
    <row r="33" spans="2:9" ht="25" customHeight="1">
      <c r="B33" s="211"/>
      <c r="C33" s="211"/>
      <c r="D33" s="211"/>
      <c r="E33" s="211"/>
      <c r="F33" s="211"/>
      <c r="G33" s="211"/>
      <c r="H33" s="211"/>
      <c r="I33" s="211"/>
    </row>
    <row r="34" spans="2:9" ht="15.75" customHeight="1"/>
    <row r="35" spans="2:9" ht="15.75" customHeight="1"/>
    <row r="36" spans="2:9" ht="15.75" customHeight="1"/>
    <row r="37" spans="2:9" ht="15.75" customHeight="1"/>
    <row r="38" spans="2:9" ht="15.75" customHeight="1"/>
    <row r="39" spans="2:9" ht="15.75" customHeight="1"/>
    <row r="40" spans="2:9" ht="15.75" customHeight="1"/>
    <row r="41" spans="2:9" ht="15.75" customHeight="1"/>
    <row r="42" spans="2:9" ht="15.75" customHeight="1"/>
    <row r="43" spans="2:9" ht="15.75" customHeight="1"/>
    <row r="44" spans="2:9" ht="15.75" customHeight="1"/>
    <row r="45" spans="2:9" ht="15.75" customHeight="1"/>
    <row r="46" spans="2:9" ht="15.75" customHeight="1"/>
    <row r="47" spans="2:9" ht="15.75" customHeight="1"/>
    <row r="48" spans="2: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sheetProtection algorithmName="SHA-512" hashValue="LtqL/64P6eEQm96POveIBCN3g5G9Xxyc3a4R00B5sv65LcvX63mTtBPCbGW1jmGzrmC67DoMSx0LZ2OfIg68sg==" saltValue="eSJSd1cy1kPa/k72E6sUEw==" spinCount="100000" sheet="1" objects="1" scenarios="1"/>
  <mergeCells count="9">
    <mergeCell ref="C3:I5"/>
    <mergeCell ref="A9:B9"/>
    <mergeCell ref="A10:B25"/>
    <mergeCell ref="A26:B26"/>
    <mergeCell ref="B32:I33"/>
    <mergeCell ref="A27:B27"/>
    <mergeCell ref="A8:B8"/>
    <mergeCell ref="A28:B28"/>
    <mergeCell ref="A29:B29"/>
  </mergeCells>
  <pageMargins left="0.7" right="0.7" top="0.75" bottom="0.75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Z1000"/>
  <sheetViews>
    <sheetView showGridLines="0" zoomScale="50" zoomScaleNormal="100" workbookViewId="0">
      <selection activeCell="K65" sqref="K65"/>
    </sheetView>
  </sheetViews>
  <sheetFormatPr baseColWidth="10" defaultColWidth="14.5" defaultRowHeight="15" customHeight="1"/>
  <cols>
    <col min="2" max="2" width="12.1640625" customWidth="1"/>
    <col min="3" max="3" width="17.33203125" customWidth="1"/>
    <col min="4" max="4" width="17" customWidth="1"/>
    <col min="5" max="5" width="20" customWidth="1"/>
    <col min="6" max="6" width="16.1640625" customWidth="1"/>
    <col min="7" max="7" width="20.1640625" customWidth="1"/>
    <col min="8" max="8" width="19" customWidth="1"/>
    <col min="9" max="9" width="22.6640625" customWidth="1"/>
    <col min="10" max="10" width="32.33203125" customWidth="1"/>
    <col min="11" max="11" width="29.83203125" customWidth="1"/>
    <col min="12" max="12" width="39" customWidth="1"/>
    <col min="13" max="13" width="29.5" customWidth="1"/>
    <col min="14" max="14" width="28.5" customWidth="1"/>
    <col min="15" max="15" width="18.6640625" customWidth="1"/>
    <col min="16" max="16" width="15.83203125" customWidth="1"/>
    <col min="17" max="17" width="17.5" customWidth="1"/>
    <col min="18" max="18" width="21.1640625" customWidth="1"/>
    <col min="19" max="19" width="11.83203125" customWidth="1"/>
    <col min="20" max="20" width="20.1640625" customWidth="1"/>
    <col min="21" max="21" width="19.6640625" customWidth="1"/>
    <col min="22" max="22" width="19.1640625" customWidth="1"/>
    <col min="23" max="23" width="18.6640625" customWidth="1"/>
    <col min="24" max="24" width="21" customWidth="1"/>
    <col min="25" max="25" width="19.83203125" customWidth="1"/>
    <col min="26" max="26" width="23.5" customWidth="1"/>
  </cols>
  <sheetData>
    <row r="1" spans="2:26" ht="16.5" customHeight="1"/>
    <row r="2" spans="2:26" ht="18">
      <c r="B2" s="230" t="s">
        <v>23</v>
      </c>
      <c r="C2" s="230"/>
      <c r="D2" s="230"/>
      <c r="F2" s="218" t="s">
        <v>130</v>
      </c>
      <c r="G2" s="219"/>
      <c r="H2" s="219"/>
      <c r="I2" s="219"/>
      <c r="J2" s="219"/>
      <c r="K2" s="219"/>
      <c r="L2" s="219"/>
      <c r="M2" s="219"/>
      <c r="N2" s="219"/>
      <c r="O2" s="220"/>
    </row>
    <row r="3" spans="2:26" ht="36" customHeight="1">
      <c r="B3" s="229" t="s">
        <v>88</v>
      </c>
      <c r="C3" s="229"/>
      <c r="D3" s="132">
        <f>'Datos de muestra y medidos'!C28</f>
        <v>0.41162626500352961</v>
      </c>
      <c r="F3" s="221"/>
      <c r="G3" s="222"/>
      <c r="H3" s="222"/>
      <c r="I3" s="222"/>
      <c r="J3" s="222"/>
      <c r="K3" s="222"/>
      <c r="L3" s="222"/>
      <c r="M3" s="222"/>
      <c r="N3" s="222"/>
      <c r="O3" s="223"/>
    </row>
    <row r="4" spans="2:26" ht="39" customHeight="1">
      <c r="B4" s="229" t="s">
        <v>129</v>
      </c>
      <c r="C4" s="229"/>
      <c r="D4" s="132">
        <f>'Datos  kr'!C29</f>
        <v>3.9000000000000004</v>
      </c>
      <c r="F4" s="224"/>
      <c r="G4" s="225"/>
      <c r="H4" s="225"/>
      <c r="I4" s="225"/>
      <c r="J4" s="225"/>
      <c r="K4" s="225"/>
      <c r="L4" s="225"/>
      <c r="M4" s="225"/>
      <c r="N4" s="225"/>
      <c r="O4" s="226"/>
      <c r="Q4" s="133"/>
      <c r="R4" s="134"/>
      <c r="S4" s="133"/>
      <c r="V4" s="135"/>
      <c r="W4" s="135"/>
      <c r="X4" s="85"/>
    </row>
    <row r="5" spans="2:26" ht="39" customHeight="1">
      <c r="B5" s="160"/>
      <c r="C5" s="160"/>
      <c r="D5" s="161"/>
      <c r="F5" s="162"/>
      <c r="G5" s="162"/>
      <c r="H5" s="162"/>
      <c r="I5" s="162"/>
      <c r="J5" s="162"/>
      <c r="K5" s="162"/>
      <c r="L5" s="162"/>
      <c r="M5" s="162"/>
      <c r="N5" s="162"/>
      <c r="O5" s="162"/>
      <c r="Q5" s="163"/>
      <c r="R5" s="164"/>
      <c r="S5" s="163"/>
      <c r="V5" s="165"/>
      <c r="W5" s="165"/>
      <c r="X5" s="85"/>
    </row>
    <row r="6" spans="2:26">
      <c r="B6" s="89"/>
      <c r="C6" s="89"/>
      <c r="D6" s="89"/>
      <c r="V6" s="136"/>
      <c r="W6" s="85"/>
      <c r="X6" s="136"/>
    </row>
    <row r="7" spans="2:26" ht="15.75" customHeight="1">
      <c r="B7" s="98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99"/>
      <c r="Z7" s="30"/>
    </row>
    <row r="8" spans="2:26" s="106" customFormat="1" ht="52.5" customHeight="1">
      <c r="B8" s="104"/>
      <c r="C8" s="103" t="s">
        <v>100</v>
      </c>
      <c r="D8" s="103" t="s">
        <v>101</v>
      </c>
      <c r="E8" s="103" t="s">
        <v>106</v>
      </c>
      <c r="F8" s="103" t="s">
        <v>102</v>
      </c>
      <c r="G8" s="103" t="s">
        <v>103</v>
      </c>
      <c r="H8" s="103" t="s">
        <v>104</v>
      </c>
      <c r="I8" s="103" t="s">
        <v>105</v>
      </c>
      <c r="J8" s="103" t="s">
        <v>29</v>
      </c>
      <c r="K8" s="156" t="s">
        <v>128</v>
      </c>
      <c r="L8" s="157" t="s">
        <v>30</v>
      </c>
      <c r="M8" s="103" t="s">
        <v>107</v>
      </c>
      <c r="N8" s="156" t="s">
        <v>127</v>
      </c>
      <c r="O8" s="103" t="s">
        <v>31</v>
      </c>
      <c r="P8" s="104"/>
      <c r="Q8" s="103" t="s">
        <v>108</v>
      </c>
      <c r="R8" s="103" t="s">
        <v>116</v>
      </c>
      <c r="S8" s="104"/>
      <c r="T8" s="114" t="s">
        <v>118</v>
      </c>
      <c r="U8" s="152" t="s">
        <v>119</v>
      </c>
      <c r="V8" s="153" t="s">
        <v>109</v>
      </c>
      <c r="W8" s="153" t="s">
        <v>110</v>
      </c>
      <c r="X8" s="140" t="s">
        <v>109</v>
      </c>
      <c r="Y8" s="140" t="s">
        <v>110</v>
      </c>
      <c r="Z8" s="105"/>
    </row>
    <row r="9" spans="2:26" ht="38">
      <c r="B9" s="130" t="s">
        <v>24</v>
      </c>
      <c r="C9" s="100" t="s">
        <v>25</v>
      </c>
      <c r="D9" s="100" t="s">
        <v>94</v>
      </c>
      <c r="E9" s="100" t="s">
        <v>96</v>
      </c>
      <c r="F9" s="100" t="s">
        <v>95</v>
      </c>
      <c r="G9" s="100" t="s">
        <v>97</v>
      </c>
      <c r="H9" s="101" t="s">
        <v>98</v>
      </c>
      <c r="I9" s="102" t="s">
        <v>99</v>
      </c>
      <c r="J9" s="100" t="s">
        <v>89</v>
      </c>
      <c r="K9" s="100" t="s">
        <v>90</v>
      </c>
      <c r="L9" s="158"/>
      <c r="M9" s="100" t="s">
        <v>91</v>
      </c>
      <c r="N9" s="100" t="s">
        <v>115</v>
      </c>
      <c r="O9" s="100" t="s">
        <v>92</v>
      </c>
      <c r="P9" s="100" t="s">
        <v>93</v>
      </c>
      <c r="Q9" s="158" t="s">
        <v>131</v>
      </c>
      <c r="R9" s="100" t="s">
        <v>26</v>
      </c>
      <c r="S9" s="100" t="s">
        <v>27</v>
      </c>
      <c r="T9" s="169">
        <v>0.64049999999999996</v>
      </c>
      <c r="U9" s="154"/>
      <c r="V9" s="155" t="s">
        <v>111</v>
      </c>
      <c r="W9" s="155" t="s">
        <v>112</v>
      </c>
      <c r="X9" s="151" t="s">
        <v>113</v>
      </c>
      <c r="Y9" s="141" t="s">
        <v>114</v>
      </c>
      <c r="Z9" s="6"/>
    </row>
    <row r="10" spans="2:26" ht="57" customHeight="1">
      <c r="B10" s="131"/>
      <c r="C10" s="97" t="s">
        <v>28</v>
      </c>
      <c r="D10" s="97" t="s">
        <v>53</v>
      </c>
      <c r="E10" s="97" t="s">
        <v>53</v>
      </c>
      <c r="F10" s="97" t="s">
        <v>53</v>
      </c>
      <c r="G10" s="97" t="s">
        <v>53</v>
      </c>
      <c r="H10" s="97" t="s">
        <v>53</v>
      </c>
      <c r="I10" s="97" t="s">
        <v>53</v>
      </c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168"/>
      <c r="U10" s="148"/>
      <c r="V10" s="149"/>
      <c r="W10" s="150"/>
      <c r="X10" s="142"/>
      <c r="Y10" s="143"/>
      <c r="Z10" s="6"/>
    </row>
    <row r="11" spans="2:26" ht="18">
      <c r="B11" s="26">
        <v>1</v>
      </c>
      <c r="C11" s="107">
        <f>'Datos  kr'!C$26</f>
        <v>52.575000000000003</v>
      </c>
      <c r="D11" s="107">
        <f>'Datos  kr'!C27</f>
        <v>0</v>
      </c>
      <c r="E11" s="107">
        <f>D11</f>
        <v>0</v>
      </c>
      <c r="F11" s="107">
        <f>'Datos  kr'!C28</f>
        <v>3.9000000000000004</v>
      </c>
      <c r="G11" s="107">
        <f>F11</f>
        <v>3.9000000000000004</v>
      </c>
      <c r="H11" s="107">
        <f t="shared" ref="H11:H17" si="0">D11+F11</f>
        <v>3.9000000000000004</v>
      </c>
      <c r="I11" s="107">
        <f>H11</f>
        <v>3.9000000000000004</v>
      </c>
      <c r="J11" s="108"/>
      <c r="K11" s="108">
        <f t="shared" ref="K11:K17" si="1">D11/H11</f>
        <v>0</v>
      </c>
      <c r="L11" s="109">
        <f>$D$3+(G11/'Datos de muestra y medidos'!$C$17)</f>
        <v>0.71758060720169425</v>
      </c>
      <c r="M11" s="109">
        <f t="shared" ref="M11:M17" si="2">L11-J11*(1-K11)</f>
        <v>0.71758060720169425</v>
      </c>
      <c r="N11" s="108">
        <f t="shared" ref="N11:N17" si="3">F11/H11</f>
        <v>1</v>
      </c>
      <c r="O11" s="108"/>
      <c r="P11" s="108"/>
      <c r="Q11" s="137"/>
      <c r="R11" s="16"/>
      <c r="S11" s="16"/>
      <c r="T11" s="167"/>
      <c r="U11" s="146"/>
      <c r="V11" s="147"/>
      <c r="W11" s="147"/>
      <c r="X11" s="144"/>
      <c r="Y11" s="144"/>
    </row>
    <row r="12" spans="2:26" ht="18">
      <c r="B12" s="26">
        <f>B11+1</f>
        <v>2</v>
      </c>
      <c r="C12" s="107">
        <f>'Datos  kr'!D26</f>
        <v>75.199999999999989</v>
      </c>
      <c r="D12" s="107">
        <f>'Datos  kr'!D27</f>
        <v>0.01</v>
      </c>
      <c r="E12" s="107">
        <f t="shared" ref="E12:E17" si="4">E11+D12</f>
        <v>0.01</v>
      </c>
      <c r="F12" s="107">
        <f>'Datos  kr'!D28</f>
        <v>1.8</v>
      </c>
      <c r="G12" s="107">
        <f t="shared" ref="G12:G17" si="5">G11+F12</f>
        <v>5.7</v>
      </c>
      <c r="H12" s="107">
        <f t="shared" si="0"/>
        <v>1.81</v>
      </c>
      <c r="I12" s="107">
        <f t="shared" ref="I12:I17" si="6">I11+H12</f>
        <v>5.7100000000000009</v>
      </c>
      <c r="J12" s="109">
        <f>I12/'Datos de muestra y medidos'!$C$17</f>
        <v>0.44794853691064623</v>
      </c>
      <c r="K12" s="109">
        <f t="shared" si="1"/>
        <v>5.5248618784530384E-3</v>
      </c>
      <c r="L12" s="109">
        <f>$D$3+(G12/'Datos de muestra y medidos'!$C$17)</f>
        <v>0.85879030360084707</v>
      </c>
      <c r="M12" s="109">
        <f t="shared" si="2"/>
        <v>0.41331662048528728</v>
      </c>
      <c r="N12" s="109">
        <f t="shared" si="3"/>
        <v>0.99447513812154698</v>
      </c>
      <c r="O12" s="109">
        <f>(K12/N12)*('Datos de muestra y medidos'!$C$19/'Datos de muestra y medidos'!$C$20)</f>
        <v>1.01010101010101E-4</v>
      </c>
      <c r="P12" s="109">
        <f t="shared" ref="P12:P17" si="7">1/O12</f>
        <v>9900.0000000000018</v>
      </c>
      <c r="Q12" s="138">
        <f>('Datos de muestra y medidos'!$C$23/'Curva kr'!C12)/('Datos de muestra y medidos'!$C$22/'Datos de muestra y medidos'!$P$39)</f>
        <v>0.62513297872340423</v>
      </c>
      <c r="R12" s="31">
        <f>1/(Q12*J12)</f>
        <v>3.5710790751008328</v>
      </c>
      <c r="S12" s="31">
        <f t="shared" ref="S12:S17" si="8">1/J12</f>
        <v>2.2323992994746029</v>
      </c>
      <c r="T12" s="110">
        <f>T9</f>
        <v>0.64049999999999996</v>
      </c>
      <c r="U12" s="139">
        <f>(0.0233*2*R12)+0.5429</f>
        <v>0.70931228489969889</v>
      </c>
      <c r="V12" s="111">
        <f t="shared" ref="V12:V17" si="9">W12*O12</f>
        <v>6.4339527875439468E-5</v>
      </c>
      <c r="W12" s="111">
        <f t="shared" ref="W12:W17" si="10">N12*T12</f>
        <v>0.63696132596685084</v>
      </c>
      <c r="X12" s="145">
        <f t="shared" ref="X12:X17" si="11">Y12*O12</f>
        <v>7.1251861868377569E-5</v>
      </c>
      <c r="Y12" s="145">
        <f t="shared" ref="Y12:Y17" si="12">N12*U12</f>
        <v>0.70539343249693809</v>
      </c>
    </row>
    <row r="13" spans="2:26" ht="18">
      <c r="B13" s="26">
        <f t="shared" ref="B13:B17" si="13">B12+1</f>
        <v>3</v>
      </c>
      <c r="C13" s="107">
        <f>'Datos  kr'!E26</f>
        <v>79.466666666666654</v>
      </c>
      <c r="D13" s="107">
        <f>'Datos  kr'!E27</f>
        <v>4.0999999999999996</v>
      </c>
      <c r="E13" s="107">
        <f t="shared" si="4"/>
        <v>4.1099999999999994</v>
      </c>
      <c r="F13" s="107">
        <f>'Datos  kr'!E28</f>
        <v>0.33</v>
      </c>
      <c r="G13" s="107">
        <f t="shared" si="5"/>
        <v>6.03</v>
      </c>
      <c r="H13" s="107">
        <f t="shared" si="0"/>
        <v>4.43</v>
      </c>
      <c r="I13" s="107">
        <f t="shared" si="6"/>
        <v>10.14</v>
      </c>
      <c r="J13" s="109">
        <f>I13/'Datos de muestra y medidos'!$C$17</f>
        <v>0.79548128971522802</v>
      </c>
      <c r="K13" s="109">
        <f t="shared" si="1"/>
        <v>0.9255079006772009</v>
      </c>
      <c r="L13" s="109">
        <f>$D$3+(G13/'Datos de muestra y medidos'!$C$17)</f>
        <v>0.8846787479406919</v>
      </c>
      <c r="M13" s="109">
        <f t="shared" si="2"/>
        <v>0.82542167669779676</v>
      </c>
      <c r="N13" s="109">
        <f t="shared" si="3"/>
        <v>7.4492099322799099E-2</v>
      </c>
      <c r="O13" s="109">
        <f>(K13/N13)*('Datos de muestra y medidos'!$C$19/'Datos de muestra y medidos'!$C$20)</f>
        <v>0.22589531680440769</v>
      </c>
      <c r="P13" s="109">
        <f t="shared" si="7"/>
        <v>4.4268292682926838</v>
      </c>
      <c r="Q13" s="138">
        <f>('Datos de muestra y medidos'!$C$23/'Curva kr'!C13)/('Datos de muestra y medidos'!$C$22/'Datos de muestra y medidos'!$P$39)</f>
        <v>0.59156879194630885</v>
      </c>
      <c r="R13" s="31">
        <f>1/(Q13*J13)</f>
        <v>2.1250285830326057</v>
      </c>
      <c r="S13" s="31">
        <f t="shared" si="8"/>
        <v>1.257100591715975</v>
      </c>
      <c r="T13" s="110">
        <f>T12</f>
        <v>0.64049999999999996</v>
      </c>
      <c r="U13" s="139">
        <f t="shared" ref="U13:U17" si="14">(0.0233*2*R13)+0.5429</f>
        <v>0.64192633196931947</v>
      </c>
      <c r="V13" s="111">
        <f t="shared" si="9"/>
        <v>1.0777960188795403E-2</v>
      </c>
      <c r="W13" s="111">
        <f t="shared" si="10"/>
        <v>4.7712189616252822E-2</v>
      </c>
      <c r="X13" s="145">
        <f t="shared" si="11"/>
        <v>1.0801961670733469E-2</v>
      </c>
      <c r="Y13" s="145">
        <f t="shared" si="12"/>
        <v>4.7818440078978654E-2</v>
      </c>
    </row>
    <row r="14" spans="2:26" ht="18">
      <c r="B14" s="26">
        <f t="shared" si="13"/>
        <v>4</v>
      </c>
      <c r="C14" s="107">
        <f>'Datos  kr'!F26</f>
        <v>81.775000000000006</v>
      </c>
      <c r="D14" s="107">
        <f>'Datos  kr'!F27</f>
        <v>4.5999999999999996</v>
      </c>
      <c r="E14" s="107">
        <f t="shared" si="4"/>
        <v>8.7099999999999991</v>
      </c>
      <c r="F14" s="107">
        <f>'Datos  kr'!F28</f>
        <v>0.15</v>
      </c>
      <c r="G14" s="107">
        <f t="shared" si="5"/>
        <v>6.1800000000000006</v>
      </c>
      <c r="H14" s="107">
        <f t="shared" si="0"/>
        <v>4.75</v>
      </c>
      <c r="I14" s="107">
        <f t="shared" si="6"/>
        <v>14.89</v>
      </c>
      <c r="J14" s="109">
        <f>I14/'Datos de muestra y medidos'!$C$17</f>
        <v>1.168117988546326</v>
      </c>
      <c r="K14" s="109">
        <f t="shared" si="1"/>
        <v>0.96842105263157885</v>
      </c>
      <c r="L14" s="109">
        <f>$D$3+(G14/'Datos de muestra y medidos'!$C$17)</f>
        <v>0.89644622264062135</v>
      </c>
      <c r="M14" s="109">
        <f t="shared" si="2"/>
        <v>0.8595582861602109</v>
      </c>
      <c r="N14" s="109">
        <f t="shared" si="3"/>
        <v>3.1578947368421054E-2</v>
      </c>
      <c r="O14" s="109">
        <f>(K14/N14)*('Datos de muestra y medidos'!$C$19/'Datos de muestra y medidos'!$C$20)</f>
        <v>0.5575757575757575</v>
      </c>
      <c r="P14" s="109">
        <f t="shared" si="7"/>
        <v>1.7934782608695654</v>
      </c>
      <c r="Q14" s="138">
        <f>('Datos de muestra y medidos'!$C$23/'Curva kr'!C14)/('Datos de muestra y medidos'!$C$22/'Datos de muestra y medidos'!$P$39)</f>
        <v>0.57487007031488824</v>
      </c>
      <c r="R14" s="31">
        <f t="shared" ref="R14:R17" si="15">1/(Q14*J14)</f>
        <v>1.4891676377673657</v>
      </c>
      <c r="S14" s="31">
        <f t="shared" si="8"/>
        <v>0.85607790463398159</v>
      </c>
      <c r="T14" s="110">
        <f t="shared" ref="T14:T17" si="16">T13</f>
        <v>0.64049999999999996</v>
      </c>
      <c r="U14" s="139">
        <f t="shared" si="14"/>
        <v>0.61229521191995928</v>
      </c>
      <c r="V14" s="111">
        <f t="shared" si="9"/>
        <v>1.1277703349282294E-2</v>
      </c>
      <c r="W14" s="111">
        <f t="shared" si="10"/>
        <v>2.0226315789473683E-2</v>
      </c>
      <c r="X14" s="145">
        <f t="shared" si="11"/>
        <v>1.0781083157250957E-2</v>
      </c>
      <c r="Y14" s="145">
        <f t="shared" si="12"/>
        <v>1.933563827115661E-2</v>
      </c>
    </row>
    <row r="15" spans="2:26" ht="18">
      <c r="B15" s="26">
        <f t="shared" si="13"/>
        <v>5</v>
      </c>
      <c r="C15" s="107">
        <f>'Datos  kr'!G26</f>
        <v>83.074999999999989</v>
      </c>
      <c r="D15" s="107">
        <f>'Datos  kr'!G27</f>
        <v>4.7</v>
      </c>
      <c r="E15" s="107">
        <f t="shared" si="4"/>
        <v>13.41</v>
      </c>
      <c r="F15" s="107">
        <f>'Datos  kr'!G28</f>
        <v>0.1</v>
      </c>
      <c r="G15" s="107">
        <f t="shared" si="5"/>
        <v>6.28</v>
      </c>
      <c r="H15" s="107">
        <f t="shared" si="0"/>
        <v>4.8</v>
      </c>
      <c r="I15" s="107">
        <f t="shared" si="6"/>
        <v>19.690000000000001</v>
      </c>
      <c r="J15" s="109">
        <f>I15/'Datos de muestra y medidos'!$C$17</f>
        <v>1.5446771789440672</v>
      </c>
      <c r="K15" s="109">
        <f t="shared" si="1"/>
        <v>0.97916666666666674</v>
      </c>
      <c r="L15" s="109">
        <f>$D$3+(G15/'Datos de muestra y medidos'!$C$17)</f>
        <v>0.90429120577390754</v>
      </c>
      <c r="M15" s="109">
        <f t="shared" si="2"/>
        <v>0.87211043121257292</v>
      </c>
      <c r="N15" s="109">
        <f t="shared" si="3"/>
        <v>2.0833333333333336E-2</v>
      </c>
      <c r="O15" s="109">
        <f>(K15/N15)*('Datos de muestra y medidos'!$C$19/'Datos de muestra y medidos'!$C$20)</f>
        <v>0.8545454545454545</v>
      </c>
      <c r="P15" s="109">
        <f t="shared" si="7"/>
        <v>1.1702127659574468</v>
      </c>
      <c r="Q15" s="138">
        <f>('Datos de muestra y medidos'!$C$23/'Curva kr'!C15)/('Datos de muestra y medidos'!$C$22/'Datos de muestra y medidos'!$P$39)</f>
        <v>0.56587421005115857</v>
      </c>
      <c r="R15" s="31">
        <f t="shared" si="15"/>
        <v>1.1440430534160133</v>
      </c>
      <c r="S15" s="31">
        <f t="shared" si="8"/>
        <v>0.64738445911630194</v>
      </c>
      <c r="T15" s="110">
        <f t="shared" si="16"/>
        <v>0.64049999999999996</v>
      </c>
      <c r="U15" s="139">
        <f t="shared" si="14"/>
        <v>0.59621240628918626</v>
      </c>
      <c r="V15" s="111">
        <f t="shared" si="9"/>
        <v>1.1402840909090909E-2</v>
      </c>
      <c r="W15" s="111">
        <f t="shared" si="10"/>
        <v>1.3343750000000001E-2</v>
      </c>
      <c r="X15" s="145">
        <f t="shared" si="11"/>
        <v>1.0614387536208999E-2</v>
      </c>
      <c r="Y15" s="145">
        <f t="shared" si="12"/>
        <v>1.2421091797691382E-2</v>
      </c>
    </row>
    <row r="16" spans="2:26" ht="18">
      <c r="B16" s="26">
        <f t="shared" si="13"/>
        <v>6</v>
      </c>
      <c r="C16" s="107">
        <f>'Datos  kr'!H26</f>
        <v>83.97999999999999</v>
      </c>
      <c r="D16" s="107">
        <f>'Datos  kr'!H27</f>
        <v>5.2</v>
      </c>
      <c r="E16" s="107">
        <f t="shared" si="4"/>
        <v>18.61</v>
      </c>
      <c r="F16" s="107">
        <f>'Datos  kr'!H28</f>
        <v>0.01</v>
      </c>
      <c r="G16" s="107">
        <f t="shared" si="5"/>
        <v>6.29</v>
      </c>
      <c r="H16" s="107">
        <f t="shared" si="0"/>
        <v>5.21</v>
      </c>
      <c r="I16" s="107">
        <f t="shared" si="6"/>
        <v>24.900000000000002</v>
      </c>
      <c r="J16" s="109">
        <f>I16/'Datos de muestra y medidos'!$C$17</f>
        <v>1.9534008001882819</v>
      </c>
      <c r="K16" s="109">
        <f t="shared" si="1"/>
        <v>0.99808061420345495</v>
      </c>
      <c r="L16" s="109">
        <f>$D$3+(G16/'Datos de muestra y medidos'!$C$17)</f>
        <v>0.90507570408723614</v>
      </c>
      <c r="M16" s="109">
        <f t="shared" si="2"/>
        <v>0.90132637433639506</v>
      </c>
      <c r="N16" s="109">
        <f t="shared" si="3"/>
        <v>1.9193857965451057E-3</v>
      </c>
      <c r="O16" s="109">
        <f>(K16/N16)*('Datos de muestra y medidos'!$C$19/'Datos de muestra y medidos'!$C$20)</f>
        <v>9.4545454545454533</v>
      </c>
      <c r="P16" s="109">
        <f t="shared" si="7"/>
        <v>0.10576923076923078</v>
      </c>
      <c r="Q16" s="138">
        <f>('Datos de muestra y medidos'!$C$23/'Curva kr'!C16)/('Datos de muestra y medidos'!$C$22/'Datos de muestra y medidos'!$P$39)</f>
        <v>0.559776137175518</v>
      </c>
      <c r="R16" s="31">
        <f t="shared" si="15"/>
        <v>0.91452221137261125</v>
      </c>
      <c r="S16" s="31">
        <f t="shared" si="8"/>
        <v>0.51192771084337285</v>
      </c>
      <c r="T16" s="110">
        <f t="shared" si="16"/>
        <v>0.64049999999999996</v>
      </c>
      <c r="U16" s="139">
        <f t="shared" si="14"/>
        <v>0.58551673504996371</v>
      </c>
      <c r="V16" s="111">
        <f t="shared" si="9"/>
        <v>1.1623102425405688E-2</v>
      </c>
      <c r="W16" s="111">
        <f t="shared" si="10"/>
        <v>1.2293666026871402E-3</v>
      </c>
      <c r="X16" s="145">
        <f t="shared" si="11"/>
        <v>1.0625325500819441E-2</v>
      </c>
      <c r="Y16" s="145">
        <f t="shared" si="12"/>
        <v>1.1238325048943641E-3</v>
      </c>
    </row>
    <row r="17" spans="2:25" ht="18">
      <c r="B17" s="26">
        <f t="shared" si="13"/>
        <v>7</v>
      </c>
      <c r="C17" s="107">
        <f>'Datos  kr'!I26</f>
        <v>85.406874999999999</v>
      </c>
      <c r="D17" s="107">
        <f>'Datos  kr'!I27</f>
        <v>20</v>
      </c>
      <c r="E17" s="107">
        <f t="shared" si="4"/>
        <v>38.61</v>
      </c>
      <c r="F17" s="107">
        <f>'Datos  kr'!I28</f>
        <v>0.01</v>
      </c>
      <c r="G17" s="107">
        <f t="shared" si="5"/>
        <v>6.3</v>
      </c>
      <c r="H17" s="107">
        <f t="shared" si="0"/>
        <v>20.010000000000002</v>
      </c>
      <c r="I17" s="107">
        <f t="shared" si="6"/>
        <v>44.910000000000004</v>
      </c>
      <c r="J17" s="109">
        <f>I17/'Datos de muestra y medidos'!$C$17</f>
        <v>3.5231819251588652</v>
      </c>
      <c r="K17" s="109">
        <f t="shared" si="1"/>
        <v>0.99950024987506236</v>
      </c>
      <c r="L17" s="109">
        <f>$D$3+(G17/'Datos de muestra y medidos'!$C$17)</f>
        <v>0.90586020240056475</v>
      </c>
      <c r="M17" s="109">
        <f t="shared" si="2"/>
        <v>0.90409949179328863</v>
      </c>
      <c r="N17" s="109">
        <f t="shared" si="3"/>
        <v>4.9975012493753122E-4</v>
      </c>
      <c r="O17" s="109">
        <f>(K17/N17)*('Datos de muestra y medidos'!$C$19/'Datos de muestra y medidos'!$C$20)</f>
        <v>36.36363636363636</v>
      </c>
      <c r="P17" s="109">
        <f t="shared" si="7"/>
        <v>2.7500000000000004E-2</v>
      </c>
      <c r="Q17" s="138">
        <f>('Datos de muestra y medidos'!$C$23/'Curva kr'!C17)/('Datos de muestra y medidos'!$C$22/'Datos de muestra y medidos'!$P$39)</f>
        <v>0.55042407300349061</v>
      </c>
      <c r="R17" s="31">
        <f t="shared" si="15"/>
        <v>0.51566482873568109</v>
      </c>
      <c r="S17" s="31">
        <f t="shared" si="8"/>
        <v>0.28383433533734098</v>
      </c>
      <c r="T17" s="110">
        <f t="shared" si="16"/>
        <v>0.64049999999999996</v>
      </c>
      <c r="U17" s="139">
        <f t="shared" si="14"/>
        <v>0.56692998101908276</v>
      </c>
      <c r="V17" s="111">
        <f t="shared" si="9"/>
        <v>1.1639634728090499E-2</v>
      </c>
      <c r="W17" s="111">
        <f t="shared" si="10"/>
        <v>3.2008995502248874E-4</v>
      </c>
      <c r="X17" s="145">
        <f t="shared" si="11"/>
        <v>1.0302666503458865E-2</v>
      </c>
      <c r="Y17" s="145">
        <f t="shared" si="12"/>
        <v>2.8332332884511882E-4</v>
      </c>
    </row>
    <row r="18" spans="2:25">
      <c r="B18" s="227"/>
      <c r="C18" s="228"/>
      <c r="D18" s="228"/>
      <c r="I18" s="227"/>
      <c r="J18" s="228"/>
      <c r="K18" s="228"/>
      <c r="N18" s="227"/>
      <c r="O18" s="228"/>
      <c r="T18" s="85"/>
    </row>
    <row r="19" spans="2:25">
      <c r="B19" s="6"/>
      <c r="C19" s="6"/>
      <c r="D19" s="6"/>
      <c r="I19" s="6"/>
      <c r="J19" s="6"/>
      <c r="K19" s="6"/>
      <c r="N19" s="6"/>
      <c r="O19" s="6"/>
    </row>
    <row r="20" spans="2:25" s="90" customFormat="1" ht="17">
      <c r="B20" s="216"/>
      <c r="C20" s="217"/>
      <c r="D20" s="95"/>
      <c r="E20" s="95"/>
      <c r="F20" s="95"/>
      <c r="G20" s="95"/>
      <c r="J20" s="91"/>
      <c r="K20" s="92"/>
      <c r="N20" s="93"/>
      <c r="O20" s="93"/>
    </row>
    <row r="21" spans="2:25" s="90" customFormat="1" ht="15.75" customHeight="1">
      <c r="B21" s="95"/>
      <c r="C21" s="95"/>
      <c r="D21" s="95"/>
      <c r="E21" s="95"/>
      <c r="F21" s="95"/>
      <c r="G21" s="95"/>
      <c r="J21" s="91"/>
    </row>
    <row r="22" spans="2:25" s="90" customFormat="1" ht="15.75" customHeight="1">
      <c r="B22" s="96"/>
      <c r="C22" s="95"/>
      <c r="D22" s="95"/>
      <c r="E22" s="95"/>
      <c r="F22" s="95"/>
      <c r="G22" s="95"/>
      <c r="J22" s="91"/>
      <c r="K22" s="92"/>
      <c r="N22" s="93"/>
      <c r="O22" s="93"/>
    </row>
    <row r="23" spans="2:25" s="90" customFormat="1" ht="15.75" customHeight="1">
      <c r="J23" s="91"/>
      <c r="K23" s="92"/>
      <c r="N23" s="93"/>
      <c r="O23" s="93"/>
    </row>
    <row r="24" spans="2:25" s="90" customFormat="1" ht="15.75" customHeight="1">
      <c r="J24" s="91"/>
      <c r="K24" s="92"/>
      <c r="N24" s="93"/>
      <c r="O24" s="93"/>
    </row>
    <row r="25" spans="2:25" s="90" customFormat="1" ht="15.75" customHeight="1">
      <c r="J25" s="91"/>
      <c r="K25" s="92"/>
      <c r="N25" s="93"/>
      <c r="O25" s="93"/>
    </row>
    <row r="26" spans="2:25" s="90" customFormat="1" ht="15.75" customHeight="1">
      <c r="J26" s="91"/>
      <c r="K26" s="92"/>
      <c r="N26" s="93"/>
      <c r="O26" s="93"/>
    </row>
    <row r="27" spans="2:25" s="90" customFormat="1" ht="15.75" customHeight="1">
      <c r="B27" s="95"/>
      <c r="C27" s="95"/>
      <c r="D27" s="95"/>
      <c r="E27" s="95"/>
      <c r="F27" s="95"/>
      <c r="G27" s="95"/>
      <c r="H27" s="95"/>
    </row>
    <row r="28" spans="2:25" s="90" customFormat="1" ht="15.75" customHeight="1">
      <c r="B28" s="95"/>
      <c r="C28" s="95"/>
      <c r="D28" s="95"/>
      <c r="E28" s="95"/>
      <c r="F28" s="95"/>
      <c r="G28" s="95"/>
      <c r="H28" s="95"/>
      <c r="T28" s="94"/>
    </row>
    <row r="29" spans="2:25" s="90" customFormat="1" ht="15.75" customHeight="1">
      <c r="B29" s="95"/>
      <c r="C29" s="95"/>
      <c r="D29" s="95"/>
      <c r="E29" s="95"/>
      <c r="F29" s="95"/>
      <c r="G29" s="95"/>
      <c r="H29" s="95"/>
      <c r="T29" s="94"/>
    </row>
    <row r="30" spans="2:25" s="90" customFormat="1" ht="15.75" customHeight="1">
      <c r="B30" s="95"/>
      <c r="C30" s="95"/>
      <c r="D30" s="95"/>
      <c r="E30" s="95"/>
      <c r="F30" s="95"/>
      <c r="G30" s="95"/>
      <c r="H30" s="95"/>
      <c r="T30" s="94"/>
    </row>
    <row r="31" spans="2:25" s="90" customFormat="1" ht="15.75" customHeight="1">
      <c r="B31" s="216"/>
      <c r="C31" s="217"/>
      <c r="D31" s="95"/>
      <c r="E31" s="95"/>
      <c r="F31" s="95"/>
      <c r="G31" s="95"/>
      <c r="H31" s="95"/>
      <c r="T31" s="94"/>
    </row>
    <row r="32" spans="2:25" s="90" customFormat="1" ht="15.75" customHeight="1">
      <c r="B32" s="95"/>
      <c r="C32" s="95"/>
      <c r="D32" s="95"/>
      <c r="E32" s="95"/>
      <c r="F32" s="95"/>
      <c r="G32" s="95"/>
      <c r="H32" s="95"/>
      <c r="T32" s="94"/>
    </row>
    <row r="33" spans="2:20" s="90" customFormat="1" ht="15.75" customHeight="1">
      <c r="B33" s="95"/>
      <c r="C33" s="95"/>
      <c r="D33" s="95"/>
      <c r="E33" s="95"/>
      <c r="F33" s="95"/>
      <c r="G33" s="95"/>
      <c r="H33" s="95"/>
      <c r="T33" s="94"/>
    </row>
    <row r="34" spans="2:20" s="90" customFormat="1" ht="15.75" customHeight="1">
      <c r="B34" s="95"/>
      <c r="C34" s="95"/>
      <c r="D34" s="95"/>
      <c r="E34" s="95"/>
      <c r="F34" s="95"/>
      <c r="G34" s="95"/>
      <c r="H34" s="95"/>
      <c r="T34" s="94"/>
    </row>
    <row r="35" spans="2:20" s="90" customFormat="1" ht="15.75" customHeight="1">
      <c r="B35" s="95"/>
      <c r="C35" s="95"/>
      <c r="D35" s="95"/>
      <c r="E35" s="95"/>
      <c r="F35" s="95"/>
      <c r="G35" s="95"/>
      <c r="H35" s="95"/>
    </row>
    <row r="36" spans="2:20" s="90" customFormat="1" ht="15.75" customHeight="1">
      <c r="B36" s="95"/>
      <c r="C36" s="95"/>
      <c r="D36" s="95"/>
      <c r="E36" s="95"/>
      <c r="F36" s="95"/>
      <c r="G36" s="95"/>
      <c r="H36" s="95"/>
    </row>
    <row r="37" spans="2:20" s="90" customFormat="1" ht="15.75" customHeight="1">
      <c r="B37" s="95"/>
      <c r="C37" s="95"/>
      <c r="D37" s="95"/>
      <c r="E37" s="95"/>
      <c r="F37" s="95"/>
      <c r="G37" s="95"/>
      <c r="H37" s="95"/>
    </row>
    <row r="38" spans="2:20" s="90" customFormat="1" ht="15.75" customHeight="1">
      <c r="B38" s="95"/>
      <c r="C38" s="95"/>
      <c r="D38" s="95"/>
      <c r="E38" s="95"/>
      <c r="F38" s="95"/>
      <c r="G38" s="95"/>
      <c r="H38" s="95"/>
    </row>
    <row r="39" spans="2:20" s="90" customFormat="1" ht="15.75" customHeight="1">
      <c r="B39" s="95"/>
      <c r="C39" s="95"/>
      <c r="D39" s="95"/>
      <c r="E39" s="95"/>
      <c r="F39" s="95"/>
      <c r="G39" s="95"/>
      <c r="H39" s="95"/>
    </row>
    <row r="40" spans="2:20" s="90" customFormat="1" ht="15.75" customHeight="1">
      <c r="B40" s="95"/>
      <c r="C40" s="95"/>
      <c r="D40" s="95"/>
      <c r="E40" s="95"/>
      <c r="F40" s="95"/>
      <c r="G40" s="95"/>
      <c r="H40" s="95"/>
    </row>
    <row r="41" spans="2:20" s="90" customFormat="1" ht="15.75" customHeight="1">
      <c r="B41" s="95"/>
      <c r="C41" s="95"/>
      <c r="D41" s="95"/>
      <c r="E41" s="95"/>
      <c r="F41" s="95"/>
      <c r="G41" s="95"/>
      <c r="H41" s="95"/>
    </row>
    <row r="42" spans="2:20" s="90" customFormat="1" ht="15.75" customHeight="1">
      <c r="B42" s="95"/>
      <c r="C42" s="95"/>
      <c r="D42" s="95"/>
      <c r="E42" s="95"/>
      <c r="F42" s="95"/>
      <c r="G42" s="95"/>
      <c r="H42" s="95"/>
    </row>
    <row r="43" spans="2:20" s="90" customFormat="1" ht="15.75" customHeight="1">
      <c r="B43" s="95"/>
      <c r="C43" s="95"/>
      <c r="D43" s="95"/>
      <c r="E43" s="95"/>
      <c r="F43" s="95"/>
      <c r="G43" s="95"/>
      <c r="H43" s="95"/>
    </row>
    <row r="44" spans="2:20" s="90" customFormat="1" ht="15.75" customHeight="1">
      <c r="B44" s="95"/>
      <c r="C44" s="95"/>
      <c r="D44" s="95"/>
      <c r="E44" s="95"/>
      <c r="F44" s="95"/>
      <c r="G44" s="95"/>
      <c r="H44" s="95"/>
    </row>
    <row r="45" spans="2:20" s="90" customFormat="1" ht="15.75" customHeight="1">
      <c r="B45" s="95"/>
      <c r="C45" s="95"/>
      <c r="D45" s="95"/>
      <c r="E45" s="95"/>
      <c r="F45" s="95"/>
      <c r="G45" s="95"/>
      <c r="H45" s="95"/>
    </row>
    <row r="46" spans="2:20" s="90" customFormat="1" ht="15.75" customHeight="1">
      <c r="B46" s="95"/>
      <c r="C46" s="95"/>
      <c r="D46" s="95"/>
      <c r="E46" s="95"/>
      <c r="F46" s="95"/>
      <c r="G46" s="95"/>
      <c r="H46" s="95"/>
    </row>
    <row r="47" spans="2:20" s="90" customFormat="1" ht="15.75" customHeight="1">
      <c r="B47" s="95"/>
      <c r="C47" s="95"/>
      <c r="D47" s="95"/>
      <c r="E47" s="95"/>
      <c r="F47" s="95"/>
      <c r="G47" s="95"/>
      <c r="H47" s="95"/>
    </row>
    <row r="48" spans="2:20" s="90" customFormat="1" ht="15.75" customHeight="1">
      <c r="B48" s="95"/>
      <c r="C48" s="95"/>
      <c r="D48" s="95"/>
      <c r="E48" s="95"/>
      <c r="F48" s="95"/>
      <c r="G48" s="95"/>
      <c r="H48" s="95"/>
    </row>
    <row r="49" spans="2:8" s="90" customFormat="1" ht="15.75" customHeight="1">
      <c r="B49" s="95"/>
      <c r="C49" s="95"/>
      <c r="D49" s="95"/>
      <c r="E49" s="95"/>
      <c r="F49" s="95"/>
      <c r="G49" s="95"/>
      <c r="H49" s="95"/>
    </row>
    <row r="50" spans="2:8" s="90" customFormat="1" ht="15.75" customHeight="1">
      <c r="B50" s="95"/>
      <c r="C50" s="95"/>
      <c r="D50" s="95"/>
      <c r="E50" s="95"/>
      <c r="F50" s="95"/>
      <c r="G50" s="95"/>
      <c r="H50" s="95"/>
    </row>
    <row r="51" spans="2:8" s="90" customFormat="1" ht="15.75" customHeight="1">
      <c r="B51" s="95"/>
      <c r="C51" s="95"/>
      <c r="D51" s="95"/>
      <c r="E51" s="95"/>
      <c r="F51" s="95"/>
      <c r="G51" s="95"/>
      <c r="H51" s="95"/>
    </row>
    <row r="52" spans="2:8" s="90" customFormat="1" ht="15.75" customHeight="1">
      <c r="B52" s="95"/>
      <c r="C52" s="95"/>
      <c r="D52" s="95"/>
      <c r="E52" s="95"/>
      <c r="F52" s="95"/>
      <c r="G52" s="95"/>
      <c r="H52" s="95"/>
    </row>
    <row r="53" spans="2:8" s="90" customFormat="1" ht="15.75" customHeight="1">
      <c r="B53" s="95"/>
      <c r="C53" s="95"/>
      <c r="D53" s="95"/>
      <c r="E53" s="95"/>
      <c r="F53" s="95"/>
      <c r="G53" s="95"/>
      <c r="H53" s="95"/>
    </row>
    <row r="54" spans="2:8" s="90" customFormat="1" ht="15.75" customHeight="1">
      <c r="B54" s="95"/>
      <c r="C54" s="95"/>
      <c r="D54" s="95"/>
      <c r="E54" s="95"/>
      <c r="F54" s="95"/>
      <c r="G54" s="95"/>
      <c r="H54" s="95"/>
    </row>
    <row r="55" spans="2:8" s="90" customFormat="1" ht="15.75" customHeight="1">
      <c r="B55" s="95"/>
      <c r="C55" s="95"/>
      <c r="D55" s="95"/>
      <c r="E55" s="95"/>
      <c r="F55" s="95"/>
      <c r="G55" s="95"/>
      <c r="H55" s="95"/>
    </row>
    <row r="56" spans="2:8" s="90" customFormat="1" ht="15.75" customHeight="1">
      <c r="B56" s="95"/>
      <c r="C56" s="95"/>
      <c r="D56" s="95"/>
      <c r="E56" s="95"/>
      <c r="F56" s="95"/>
      <c r="G56" s="95"/>
      <c r="H56" s="95"/>
    </row>
    <row r="57" spans="2:8" s="90" customFormat="1" ht="15.75" customHeight="1">
      <c r="B57" s="95"/>
      <c r="C57" s="95"/>
      <c r="D57" s="95"/>
      <c r="E57" s="95"/>
      <c r="F57" s="95"/>
      <c r="G57" s="95"/>
      <c r="H57" s="95"/>
    </row>
    <row r="58" spans="2:8" s="90" customFormat="1" ht="15.75" customHeight="1">
      <c r="B58" s="95"/>
      <c r="C58" s="95"/>
      <c r="D58" s="95"/>
      <c r="E58" s="95"/>
      <c r="F58" s="95"/>
      <c r="G58" s="95"/>
      <c r="H58" s="95"/>
    </row>
    <row r="59" spans="2:8" s="90" customFormat="1" ht="15.75" customHeight="1">
      <c r="B59" s="159"/>
      <c r="C59" s="95"/>
      <c r="D59" s="95"/>
      <c r="E59" s="95"/>
      <c r="F59" s="95"/>
      <c r="G59" s="95"/>
      <c r="H59" s="95"/>
    </row>
    <row r="60" spans="2:8" s="90" customFormat="1" ht="15.75" customHeight="1">
      <c r="B60" s="95"/>
      <c r="C60" s="95"/>
      <c r="D60" s="95"/>
      <c r="E60" s="95"/>
      <c r="F60" s="95"/>
      <c r="G60" s="95"/>
      <c r="H60" s="95"/>
    </row>
    <row r="61" spans="2:8" s="90" customFormat="1" ht="15.75" customHeight="1">
      <c r="B61" s="95"/>
      <c r="C61" s="95"/>
      <c r="D61" s="95"/>
      <c r="E61" s="95"/>
      <c r="F61" s="95"/>
      <c r="G61" s="95"/>
      <c r="H61" s="95"/>
    </row>
    <row r="62" spans="2:8" s="90" customFormat="1" ht="15.75" customHeight="1">
      <c r="B62" s="95"/>
      <c r="C62" s="95"/>
      <c r="D62" s="95"/>
      <c r="E62" s="95"/>
      <c r="F62" s="95"/>
      <c r="G62" s="95"/>
      <c r="H62" s="95"/>
    </row>
    <row r="63" spans="2:8" s="90" customFormat="1" ht="15.75" customHeight="1">
      <c r="B63" s="95"/>
      <c r="C63" s="95"/>
      <c r="D63" s="95"/>
      <c r="E63" s="95"/>
      <c r="F63" s="95"/>
      <c r="G63" s="95"/>
      <c r="H63" s="95"/>
    </row>
    <row r="64" spans="2:8" s="90" customFormat="1" ht="15.75" customHeight="1">
      <c r="B64" s="95"/>
      <c r="C64" s="95"/>
      <c r="D64" s="95"/>
      <c r="E64" s="95"/>
      <c r="F64" s="95"/>
      <c r="G64" s="95"/>
      <c r="H64" s="95"/>
    </row>
    <row r="65" spans="2:23" s="90" customFormat="1" ht="15.75" customHeight="1">
      <c r="B65" s="215"/>
      <c r="C65" s="215"/>
      <c r="D65" s="95"/>
      <c r="E65" s="95"/>
      <c r="F65" s="95"/>
      <c r="G65" s="95"/>
      <c r="H65" s="95"/>
    </row>
    <row r="66" spans="2:23" s="90" customFormat="1" ht="15.75" customHeight="1">
      <c r="B66" s="215"/>
      <c r="C66" s="215"/>
      <c r="D66" s="95"/>
      <c r="E66" s="95"/>
      <c r="F66" s="95"/>
      <c r="G66" s="95"/>
      <c r="H66" s="95"/>
    </row>
    <row r="67" spans="2:23" s="90" customFormat="1" ht="15.75" customHeight="1">
      <c r="B67" s="215"/>
      <c r="C67" s="215"/>
      <c r="D67" s="95"/>
      <c r="E67" s="95"/>
      <c r="F67" s="95"/>
      <c r="G67" s="95"/>
      <c r="H67" s="95"/>
    </row>
    <row r="68" spans="2:23" s="90" customFormat="1" ht="15.75" customHeight="1">
      <c r="B68" s="215"/>
      <c r="C68" s="215"/>
      <c r="D68" s="95"/>
      <c r="E68" s="95"/>
      <c r="F68" s="95"/>
      <c r="G68" s="95"/>
      <c r="H68" s="95"/>
    </row>
    <row r="69" spans="2:23" s="90" customFormat="1" ht="15.75" customHeight="1">
      <c r="B69" s="95"/>
      <c r="C69" s="95"/>
      <c r="D69" s="95"/>
      <c r="E69" s="95"/>
      <c r="F69" s="95"/>
      <c r="G69" s="95"/>
      <c r="H69" s="95"/>
    </row>
    <row r="70" spans="2:23" s="90" customFormat="1" ht="15.75" customHeight="1"/>
    <row r="71" spans="2:23" s="90" customFormat="1" ht="15.75" customHeight="1">
      <c r="B71" s="214"/>
      <c r="C71" s="214"/>
      <c r="D71" s="214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</row>
    <row r="72" spans="2:23" s="90" customFormat="1" ht="15.75" customHeight="1">
      <c r="B72" s="214"/>
      <c r="C72" s="214"/>
      <c r="D72" s="214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</row>
    <row r="73" spans="2:23" s="90" customFormat="1" ht="15.75" customHeight="1">
      <c r="B73" s="214"/>
      <c r="C73" s="214"/>
    </row>
    <row r="74" spans="2:23" s="90" customFormat="1" ht="15.75" customHeight="1">
      <c r="B74" s="214"/>
      <c r="C74" s="214"/>
    </row>
    <row r="75" spans="2:23" s="90" customFormat="1" ht="15.75" customHeight="1">
      <c r="B75" s="214"/>
      <c r="C75" s="214"/>
    </row>
    <row r="76" spans="2:23" s="90" customFormat="1" ht="15.75" customHeight="1">
      <c r="B76" s="214"/>
      <c r="C76" s="214"/>
    </row>
    <row r="77" spans="2:23" s="90" customFormat="1" ht="15.75" customHeight="1">
      <c r="B77" s="214"/>
      <c r="C77" s="214"/>
    </row>
    <row r="78" spans="2:23" s="90" customFormat="1" ht="15.75" customHeight="1">
      <c r="B78" s="214"/>
      <c r="C78" s="214"/>
    </row>
    <row r="79" spans="2:23" s="90" customFormat="1" ht="15.75" customHeight="1">
      <c r="B79" s="214"/>
      <c r="C79" s="214"/>
    </row>
    <row r="80" spans="2:23" s="90" customFormat="1" ht="15.75" customHeight="1">
      <c r="B80" s="214"/>
      <c r="C80" s="214"/>
    </row>
    <row r="81" spans="2:23" s="90" customFormat="1" ht="15.75" customHeight="1">
      <c r="B81" s="214"/>
      <c r="C81" s="214"/>
    </row>
    <row r="82" spans="2:23" s="90" customFormat="1" ht="15.75" customHeight="1">
      <c r="B82" s="214"/>
      <c r="C82" s="214"/>
    </row>
    <row r="83" spans="2:23" s="90" customFormat="1" ht="15.75" customHeight="1">
      <c r="B83" s="214"/>
      <c r="C83" s="214"/>
    </row>
    <row r="84" spans="2:23" s="90" customFormat="1" ht="15.75" customHeight="1">
      <c r="B84" s="214"/>
      <c r="C84" s="214"/>
    </row>
    <row r="85" spans="2:23" s="90" customFormat="1" ht="15.75" customHeight="1">
      <c r="B85" s="214"/>
      <c r="C85" s="214"/>
    </row>
    <row r="86" spans="2:23" s="90" customFormat="1" ht="15.75" customHeight="1"/>
    <row r="87" spans="2:23" s="90" customFormat="1" ht="15.75" customHeight="1"/>
    <row r="88" spans="2:23" s="90" customFormat="1" ht="15.75" customHeight="1"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</row>
    <row r="89" spans="2:23" s="90" customFormat="1" ht="15.75" customHeight="1">
      <c r="B89" s="214"/>
      <c r="C89" s="214"/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</row>
    <row r="90" spans="2:23" s="90" customFormat="1" ht="15.75" customHeight="1">
      <c r="B90" s="214"/>
      <c r="C90" s="214"/>
    </row>
    <row r="91" spans="2:23" s="90" customFormat="1" ht="15.75" customHeight="1">
      <c r="B91" s="214"/>
      <c r="C91" s="214"/>
    </row>
    <row r="92" spans="2:23" s="90" customFormat="1" ht="15.75" customHeight="1">
      <c r="B92" s="214"/>
      <c r="C92" s="214"/>
    </row>
    <row r="93" spans="2:23" s="90" customFormat="1" ht="15.75" customHeight="1">
      <c r="B93" s="214"/>
      <c r="C93" s="214"/>
    </row>
    <row r="94" spans="2:23" s="90" customFormat="1" ht="15.75" customHeight="1">
      <c r="B94" s="214"/>
      <c r="C94" s="214"/>
    </row>
    <row r="95" spans="2:23" s="90" customFormat="1" ht="15.75" customHeight="1">
      <c r="B95" s="214"/>
      <c r="C95" s="214"/>
    </row>
    <row r="96" spans="2:23" s="90" customFormat="1" ht="15.75" customHeight="1">
      <c r="B96" s="214"/>
      <c r="C96" s="214"/>
    </row>
    <row r="97" spans="2:3" s="90" customFormat="1" ht="15.75" customHeight="1">
      <c r="B97" s="214"/>
      <c r="C97" s="214"/>
    </row>
    <row r="98" spans="2:3" s="90" customFormat="1" ht="15.75" customHeight="1">
      <c r="B98" s="214"/>
      <c r="C98" s="214"/>
    </row>
    <row r="99" spans="2:3" s="90" customFormat="1" ht="15.75" customHeight="1">
      <c r="B99" s="214"/>
      <c r="C99" s="214"/>
    </row>
    <row r="100" spans="2:3" s="90" customFormat="1" ht="15.75" customHeight="1">
      <c r="B100" s="214"/>
      <c r="C100" s="214"/>
    </row>
    <row r="101" spans="2:3" s="90" customFormat="1" ht="15.75" customHeight="1">
      <c r="B101" s="214"/>
      <c r="C101" s="214"/>
    </row>
    <row r="102" spans="2:3" s="90" customFormat="1" ht="15.75" customHeight="1">
      <c r="B102" s="214"/>
      <c r="C102" s="214"/>
    </row>
    <row r="103" spans="2:3" s="90" customFormat="1" ht="15.75" customHeight="1"/>
    <row r="104" spans="2:3" s="90" customFormat="1" ht="15.75" customHeight="1"/>
    <row r="105" spans="2:3" s="90" customFormat="1" ht="15.75" customHeight="1"/>
    <row r="106" spans="2:3" s="90" customFormat="1" ht="15.75" customHeight="1"/>
    <row r="107" spans="2:3" s="90" customFormat="1" ht="15.75" customHeight="1"/>
    <row r="108" spans="2:3" s="90" customFormat="1" ht="15.75" customHeight="1"/>
    <row r="109" spans="2:3" s="90" customFormat="1" ht="15.75" customHeight="1"/>
    <row r="110" spans="2:3" s="90" customFormat="1" ht="15.75" customHeight="1"/>
    <row r="111" spans="2:3" s="90" customFormat="1" ht="15.75" customHeight="1"/>
    <row r="112" spans="2:3" s="90" customFormat="1" ht="15.75" customHeight="1"/>
    <row r="113" s="90" customFormat="1" ht="15.75" customHeight="1"/>
    <row r="114" s="90" customFormat="1" ht="15.75" customHeight="1"/>
    <row r="115" s="90" customFormat="1" ht="15.75" customHeight="1"/>
    <row r="116" s="90" customFormat="1" ht="15.75" customHeight="1"/>
    <row r="117" s="90" customFormat="1" ht="15.75" customHeight="1"/>
    <row r="118" s="90" customFormat="1" ht="15.75" customHeight="1"/>
    <row r="119" s="90" customFormat="1" ht="15.75" customHeight="1"/>
    <row r="120" s="90" customFormat="1" ht="15.75" customHeight="1"/>
    <row r="121" s="90" customFormat="1" ht="15.75" customHeight="1"/>
    <row r="122" s="90" customFormat="1" ht="15.75" customHeight="1"/>
    <row r="123" s="90" customFormat="1" ht="15.75" customHeight="1"/>
    <row r="124" s="90" customFormat="1" ht="15.75" customHeight="1"/>
    <row r="125" s="90" customFormat="1" ht="15.75" customHeight="1"/>
    <row r="126" s="90" customFormat="1" ht="15.75" customHeight="1"/>
    <row r="127" s="90" customFormat="1" ht="15.75" customHeight="1"/>
    <row r="128" s="90" customFormat="1" ht="15.75" customHeight="1"/>
    <row r="129" s="90" customFormat="1" ht="15.75" customHeight="1"/>
    <row r="130" s="90" customFormat="1" ht="15.75" customHeight="1"/>
    <row r="131" s="90" customFormat="1" ht="15.75" customHeight="1"/>
    <row r="132" s="90" customFormat="1" ht="15.75" customHeight="1"/>
    <row r="133" s="90" customFormat="1" ht="15.75" customHeight="1"/>
    <row r="134" s="90" customFormat="1" ht="15.75" customHeight="1"/>
    <row r="135" s="90" customFormat="1" ht="15.75" customHeight="1"/>
    <row r="136" s="90" customFormat="1" ht="15.75" customHeight="1"/>
    <row r="137" s="90" customFormat="1" ht="15.75" customHeight="1"/>
    <row r="138" s="90" customFormat="1" ht="15.75" customHeight="1"/>
    <row r="139" s="90" customFormat="1" ht="15.75" customHeight="1"/>
    <row r="140" s="90" customFormat="1" ht="15.75" customHeight="1"/>
    <row r="141" s="90" customFormat="1" ht="15.75" customHeight="1"/>
    <row r="142" s="90" customFormat="1" ht="15.75" customHeight="1"/>
    <row r="143" s="90" customFormat="1" ht="15.75" customHeight="1"/>
    <row r="144" s="90" customFormat="1" ht="15.75" customHeight="1"/>
    <row r="145" s="90" customFormat="1" ht="15.75" customHeight="1"/>
    <row r="146" s="90" customFormat="1" ht="15.75" customHeight="1"/>
    <row r="147" s="90" customFormat="1" ht="15.75" customHeight="1"/>
    <row r="148" s="90" customFormat="1" ht="15.75" customHeight="1"/>
    <row r="149" s="90" customFormat="1" ht="15.75" customHeight="1"/>
    <row r="150" s="90" customFormat="1" ht="15.75" customHeight="1"/>
    <row r="151" s="90" customFormat="1" ht="15.75" customHeight="1"/>
    <row r="152" s="90" customFormat="1" ht="15.75" customHeight="1"/>
    <row r="153" s="90" customFormat="1" ht="15.75" customHeight="1"/>
    <row r="154" s="90" customFormat="1" ht="15.75" customHeight="1"/>
    <row r="155" s="90" customFormat="1" ht="15.75" customHeight="1"/>
    <row r="156" s="90" customFormat="1" ht="15.75" customHeight="1"/>
    <row r="157" s="90" customFormat="1" ht="15.75" customHeight="1"/>
    <row r="158" s="90" customFormat="1" ht="15.75" customHeight="1"/>
    <row r="159" s="90" customFormat="1" ht="15.75" customHeight="1"/>
    <row r="160" s="90" customFormat="1" ht="15.75" customHeight="1"/>
    <row r="161" s="90" customFormat="1" ht="15.75" customHeight="1"/>
    <row r="162" s="90" customFormat="1" ht="15.75" customHeight="1"/>
    <row r="163" s="90" customFormat="1" ht="15.75" customHeight="1"/>
    <row r="164" s="90" customFormat="1" ht="15.75" customHeight="1"/>
    <row r="165" s="90" customFormat="1" ht="15.75" customHeight="1"/>
    <row r="166" s="90" customFormat="1" ht="15.75" customHeight="1"/>
    <row r="167" s="90" customFormat="1" ht="15.75" customHeight="1"/>
    <row r="168" s="90" customFormat="1" ht="15.75" customHeight="1"/>
    <row r="169" s="90" customFormat="1" ht="15.75" customHeight="1"/>
    <row r="170" s="90" customFormat="1" ht="15.75" customHeight="1"/>
    <row r="171" s="90" customFormat="1" ht="15.75" customHeight="1"/>
    <row r="172" s="90" customFormat="1" ht="15.75" customHeight="1"/>
    <row r="173" s="90" customFormat="1" ht="15.75" customHeight="1"/>
    <row r="174" s="90" customFormat="1" ht="15.75" customHeight="1"/>
    <row r="175" s="90" customFormat="1" ht="15.75" customHeight="1"/>
    <row r="176" s="90" customFormat="1" ht="15.75" customHeight="1"/>
    <row r="177" s="90" customFormat="1" ht="15.75" customHeight="1"/>
    <row r="178" s="90" customFormat="1" ht="15.75" customHeight="1"/>
    <row r="179" s="90" customFormat="1" ht="15.75" customHeight="1"/>
    <row r="180" s="90" customFormat="1" ht="15.75" customHeight="1"/>
    <row r="181" s="90" customFormat="1" ht="15.75" customHeight="1"/>
    <row r="182" s="90" customFormat="1" ht="15.75" customHeight="1"/>
    <row r="183" s="90" customFormat="1" ht="15.75" customHeight="1"/>
    <row r="184" s="90" customFormat="1" ht="15.75" customHeight="1"/>
    <row r="185" s="90" customFormat="1" ht="15.75" customHeight="1"/>
    <row r="186" s="90" customFormat="1" ht="15.75" customHeight="1"/>
    <row r="187" s="90" customFormat="1" ht="15.75" customHeight="1"/>
    <row r="188" s="90" customFormat="1" ht="15.75" customHeight="1"/>
    <row r="189" s="90" customFormat="1" ht="15.75" customHeight="1"/>
    <row r="190" s="90" customFormat="1" ht="15.75" customHeight="1"/>
    <row r="191" s="90" customFormat="1" ht="15.75" customHeight="1"/>
    <row r="192" s="90" customFormat="1" ht="15.75" customHeight="1"/>
    <row r="193" s="90" customFormat="1" ht="15.75" customHeight="1"/>
    <row r="194" s="90" customFormat="1" ht="15.75" customHeight="1"/>
    <row r="195" s="90" customFormat="1" ht="15.75" customHeight="1"/>
    <row r="196" s="90" customFormat="1" ht="15.75" customHeight="1"/>
    <row r="197" s="90" customFormat="1" ht="15.75" customHeight="1"/>
    <row r="198" s="90" customFormat="1" ht="15.75" customHeight="1"/>
    <row r="199" s="90" customFormat="1" ht="15.75" customHeight="1"/>
    <row r="200" s="90" customFormat="1" ht="15.75" customHeight="1"/>
    <row r="201" s="90" customFormat="1" ht="15.75" customHeight="1"/>
    <row r="202" s="90" customFormat="1" ht="15.75" customHeight="1"/>
    <row r="203" s="90" customFormat="1" ht="15.75" customHeight="1"/>
    <row r="204" s="90" customFormat="1" ht="15.75" customHeight="1"/>
    <row r="205" s="90" customFormat="1" ht="15.75" customHeight="1"/>
    <row r="206" s="90" customFormat="1" ht="15.75" customHeight="1"/>
    <row r="207" s="90" customFormat="1" ht="15.75" customHeight="1"/>
    <row r="208" s="90" customFormat="1" ht="15.75" customHeight="1"/>
    <row r="209" s="90" customFormat="1" ht="15.75" customHeight="1"/>
    <row r="210" s="90" customFormat="1" ht="15.75" customHeight="1"/>
    <row r="211" s="90" customFormat="1" ht="15.75" customHeight="1"/>
    <row r="212" s="90" customFormat="1" ht="15.75" customHeight="1"/>
    <row r="213" s="90" customFormat="1" ht="15.75" customHeight="1"/>
    <row r="214" s="90" customFormat="1" ht="15.75" customHeight="1"/>
    <row r="215" s="90" customFormat="1" ht="15.75" customHeight="1"/>
    <row r="216" s="90" customFormat="1" ht="15.75" customHeight="1"/>
    <row r="217" s="90" customFormat="1" ht="15.75" customHeight="1"/>
    <row r="218" s="90" customFormat="1" ht="15.75" customHeight="1"/>
    <row r="219" s="90" customFormat="1" ht="15.75" customHeight="1"/>
    <row r="220" s="90" customFormat="1" ht="15.75" customHeight="1"/>
    <row r="221" s="90" customFormat="1" ht="15.75" customHeight="1"/>
    <row r="222" s="90" customFormat="1" ht="15.75" customHeight="1"/>
    <row r="223" s="90" customFormat="1" ht="15.75" customHeight="1"/>
    <row r="224" s="90" customFormat="1" ht="15.75" customHeight="1"/>
    <row r="225" s="90" customFormat="1" ht="15.75" customHeight="1"/>
    <row r="226" s="90" customFormat="1" ht="15.75" customHeight="1"/>
    <row r="227" s="90" customFormat="1" ht="15.75" customHeight="1"/>
    <row r="228" s="90" customFormat="1" ht="15.75" customHeight="1"/>
    <row r="229" s="90" customFormat="1" ht="15.75" customHeight="1"/>
    <row r="230" s="90" customFormat="1" ht="15.75" customHeight="1"/>
    <row r="231" s="90" customFormat="1" ht="15.75" customHeight="1"/>
    <row r="232" s="90" customFormat="1" ht="15.75" customHeight="1"/>
    <row r="233" s="90" customFormat="1" ht="15.75" customHeight="1"/>
    <row r="234" s="90" customFormat="1" ht="15.75" customHeight="1"/>
    <row r="235" s="90" customFormat="1" ht="15.75" customHeight="1"/>
    <row r="236" s="90" customFormat="1" ht="15.75" customHeight="1"/>
    <row r="237" s="90" customFormat="1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4veu6FRVywDD5eh5yVQZ/HoyFjQThpehkLj0Lo80LMsmCkGI5t100B07TE/3gMKndW0/a0815qrm+p6NkPpxug==" saltValue="vvr2tSf6NrElHaS8ymruAw==" spinCount="100000" sheet="1" objects="1" scenarios="1"/>
  <mergeCells count="41">
    <mergeCell ref="F2:O4"/>
    <mergeCell ref="B18:D18"/>
    <mergeCell ref="I18:K18"/>
    <mergeCell ref="N18:O18"/>
    <mergeCell ref="B3:C3"/>
    <mergeCell ref="B4:C4"/>
    <mergeCell ref="B2:D2"/>
    <mergeCell ref="B20:C20"/>
    <mergeCell ref="B31:C31"/>
    <mergeCell ref="B65:C65"/>
    <mergeCell ref="B66:C66"/>
    <mergeCell ref="B67:C67"/>
    <mergeCell ref="B68:C68"/>
    <mergeCell ref="B71:W72"/>
    <mergeCell ref="B73:C73"/>
    <mergeCell ref="B81:C81"/>
    <mergeCell ref="B82:C82"/>
    <mergeCell ref="B83:C83"/>
    <mergeCell ref="B84:C84"/>
    <mergeCell ref="B85:C85"/>
    <mergeCell ref="B88:W89"/>
    <mergeCell ref="B74:C74"/>
    <mergeCell ref="B75:C75"/>
    <mergeCell ref="B76:C76"/>
    <mergeCell ref="B77:C77"/>
    <mergeCell ref="B78:C78"/>
    <mergeCell ref="B79:C79"/>
    <mergeCell ref="B80:C80"/>
    <mergeCell ref="B102:C102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</mergeCell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Datos de muestra y medidos</vt:lpstr>
      <vt:lpstr>Datos medidos</vt:lpstr>
      <vt:lpstr>Permeabilidades</vt:lpstr>
      <vt:lpstr>Datos  kr</vt:lpstr>
      <vt:lpstr>Curva kr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laboratorio crudos</dc:creator>
  <cp:lastModifiedBy>Microsoft Office User</cp:lastModifiedBy>
  <dcterms:created xsi:type="dcterms:W3CDTF">2013-03-13T13:09:39Z</dcterms:created>
  <dcterms:modified xsi:type="dcterms:W3CDTF">2023-02-24T23:34:56Z</dcterms:modified>
</cp:coreProperties>
</file>